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10" windowWidth="18045" windowHeight="10155" firstSheet="11" activeTab="1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10" sheetId="8" r:id="rId8"/>
    <sheet name="L11" sheetId="9" r:id="rId9"/>
    <sheet name="L15" sheetId="10" r:id="rId10"/>
    <sheet name="L16" sheetId="11" r:id="rId11"/>
    <sheet name="L17" sheetId="12" r:id="rId12"/>
    <sheet name="L24" sheetId="13" r:id="rId13"/>
    <sheet name="L25" sheetId="14" r:id="rId14"/>
    <sheet name="L32" sheetId="15" r:id="rId15"/>
    <sheet name="L33" sheetId="16" r:id="rId16"/>
    <sheet name="L36" sheetId="17" r:id="rId17"/>
    <sheet name="L37FPI" sheetId="18" r:id="rId18"/>
    <sheet name="L37Lives" sheetId="19" r:id="rId19"/>
    <sheet name="L38 FPI" sheetId="20" r:id="rId20"/>
    <sheet name="L38 NOP" sheetId="21" r:id="rId21"/>
    <sheet name="L39" sheetId="22" r:id="rId22"/>
    <sheet name="L40" sheetId="23" r:id="rId23"/>
  </sheets>
  <definedNames/>
  <calcPr fullCalcOnLoad="1"/>
</workbook>
</file>

<file path=xl/sharedStrings.xml><?xml version="1.0" encoding="utf-8"?>
<sst xmlns="http://schemas.openxmlformats.org/spreadsheetml/2006/main" count="2723" uniqueCount="611">
  <si>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</si>
  <si>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</si>
  <si>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</si>
  <si>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</si>
  <si>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</si>
  <si>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</si>
  <si>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</si>
  <si>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</si>
  <si>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</si>
  <si>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</si>
  <si>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</si>
  <si>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</si>
  <si>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</si>
  <si>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</si>
  <si>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</si>
  <si>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</si>
  <si>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</si>
  <si>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</si>
  <si>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</si>
  <si>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</si>
  <si>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</si>
  <si>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</si>
  <si>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</si>
  <si>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</si>
  <si>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</si>
  <si>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</si>
  <si>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</si>
  <si>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</si>
  <si>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</si>
  <si>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</si>
  <si>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</si>
  <si>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</si>
  <si>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</si>
  <si>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</si>
  <si>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</si>
  <si>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</si>
  <si>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</si>
  <si>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</si>
  <si>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</si>
  <si>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</si>
  <si>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</si>
  <si>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</si>
  <si>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</si>
  <si>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</si>
  <si>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</si>
  <si>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</si>
  <si>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</si>
  <si>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</si>
  <si>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</si>
  <si>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</si>
  <si>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</si>
  <si>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</si>
  <si>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</si>
  <si>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</si>
  <si>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</si>
  <si>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</si>
  <si>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</si>
  <si>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</si>
  <si>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</si>
  <si>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</si>
  <si>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</si>
  <si>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</si>
  <si>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</si>
  <si>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</si>
  <si>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</si>
  <si>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</si>
  <si>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</si>
  <si>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</si>
  <si>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</si>
  <si>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</si>
  <si>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</si>
  <si>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</si>
  <si>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</si>
  <si>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</si>
  <si>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</si>
  <si>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</si>
  <si>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</si>
  <si>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</si>
  <si>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</si>
  <si>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</si>
  <si>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</si>
  <si>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</si>
  <si>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</si>
  <si>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</si>
  <si>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</si>
  <si>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</si>
  <si>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</si>
  <si>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</si>
  <si>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</si>
  <si>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</si>
  <si>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</si>
  <si>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</si>
  <si>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</si>
  <si>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</si>
  <si>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</si>
  <si>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</si>
  <si>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</si>
  <si>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</si>
  <si>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</si>
  <si>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</si>
  <si>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</si>
  <si>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</si>
  <si>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</si>
  <si>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</si>
  <si>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</si>
  <si>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</si>
  <si>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</si>
  <si>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</si>
  <si>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</si>
  <si>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</si>
  <si>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</si>
  <si>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</si>
  <si>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</si>
  <si>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</si>
  <si>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</si>
  <si>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</si>
  <si>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</si>
  <si>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</si>
  <si>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</si>
  <si>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</si>
  <si>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</si>
  <si>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t>Claims Experience</t>
  </si>
  <si>
    <t>For Death</t>
  </si>
  <si>
    <t>For Maturity</t>
  </si>
  <si>
    <t>Survival Benefit</t>
  </si>
  <si>
    <t>For Annuities/ Pension</t>
  </si>
  <si>
    <t>For Surrender</t>
  </si>
  <si>
    <t>Other Benefits*</t>
  </si>
  <si>
    <t>Claims O/S at the beginning of the period</t>
  </si>
  <si>
    <t>Unclaimed adjusted from Opening Balance</t>
  </si>
  <si>
    <t>Claims reported during the period</t>
  </si>
  <si>
    <t>Claims Repudiated during the period</t>
  </si>
  <si>
    <t>a)  Less than 2 years from the date of acceptance of risk</t>
  </si>
  <si>
    <t>b) Greater than 2 year from the date of acceptance of risk</t>
  </si>
  <si>
    <t>Claim Rejected</t>
  </si>
  <si>
    <t>Claims Written Back</t>
  </si>
  <si>
    <t>Claims Unclaimed</t>
  </si>
  <si>
    <t>Claims O/S at End of the period</t>
  </si>
  <si>
    <t>Less than  3months</t>
  </si>
  <si>
    <t>3 months to 6 months</t>
  </si>
  <si>
    <t>6 months to 1 year</t>
  </si>
  <si>
    <t>1 year and above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</si>
  <si>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</si>
  <si>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</si>
  <si>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</si>
  <si>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</si>
  <si>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</si>
  <si>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</si>
  <si>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</si>
  <si>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</si>
  <si>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</si>
  <si>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</si>
  <si>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</si>
  <si>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</si>
  <si>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</si>
  <si>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</si>
  <si>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</si>
  <si>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</si>
  <si>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</si>
  <si>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</si>
  <si>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</si>
  <si>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</si>
  <si>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</si>
  <si>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</si>
  <si>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</si>
  <si>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</si>
  <si>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</si>
  <si>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</si>
  <si>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</si>
  <si>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</si>
  <si>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</si>
  <si>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</si>
  <si>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</si>
  <si>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</si>
  <si>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</si>
  <si>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Loans</t>
  </si>
  <si>
    <t>Cash and bank balances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</si>
  <si>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</si>
  <si>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</si>
  <si>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</si>
  <si>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</si>
  <si>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</si>
  <si>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</si>
  <si>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</si>
  <si>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</si>
  <si>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</si>
  <si>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</si>
  <si>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</si>
  <si>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</si>
  <si>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</si>
  <si>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</si>
  <si>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</si>
  <si>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</si>
  <si>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</si>
  <si>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</si>
  <si>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</si>
  <si>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</si>
  <si>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</si>
  <si>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</si>
  <si>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</si>
  <si>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</si>
  <si>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</si>
  <si>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</si>
  <si>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</si>
  <si>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</si>
  <si>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</si>
  <si>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</si>
  <si>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Life Insurance Corporation of India(Upto)</t>
  </si>
  <si>
    <t>Bonds / Debentures</t>
  </si>
  <si>
    <t>Other Debt instruments</t>
  </si>
  <si>
    <t>All Other Assets</t>
  </si>
  <si>
    <t>T0TAL</t>
  </si>
  <si>
    <t>Investments Assets  (As per Form 5)</t>
  </si>
  <si>
    <t>Gross NPA</t>
  </si>
  <si>
    <t>Provision made on NPA</t>
  </si>
  <si>
    <t>Provision on Standard Assets</t>
  </si>
  <si>
    <t>Write off made during the period</t>
  </si>
  <si>
    <t>IDBI Federal Life Insurance Company Limited Nothing</t>
  </si>
  <si>
    <t>On or before maturity</t>
  </si>
  <si>
    <t>1 month</t>
  </si>
  <si>
    <t>1-3 month</t>
  </si>
  <si>
    <t>3-6 month</t>
  </si>
  <si>
    <t xml:space="preserve">6-1 yr </t>
  </si>
  <si>
    <t>&gt; 1 year</t>
  </si>
  <si>
    <t>Total No. of Claim paid</t>
  </si>
  <si>
    <t>Total Amount of Claim paid in Crores</t>
  </si>
  <si>
    <t>6-12 months</t>
  </si>
  <si>
    <t>&gt; 12 months</t>
  </si>
  <si>
    <t>Maturity Claims</t>
  </si>
  <si>
    <t>For Annuities / Pension</t>
  </si>
  <si>
    <t>Other benefits</t>
  </si>
  <si>
    <t>Group Death Claims</t>
  </si>
  <si>
    <t>Individual Death Claims</t>
  </si>
  <si>
    <t>SBI Life Insurance Company Limited (In Crore)</t>
  </si>
  <si>
    <t>Shriram Life Insurance Company Limited  (In Crore)</t>
  </si>
  <si>
    <t>Star Union Dai-ichi Life Insurance Company Limited  (In Crore)</t>
  </si>
  <si>
    <t>Reliance Nippon Life Insurance Company Limited  (In Crore)</t>
  </si>
  <si>
    <t>PNB MetLife India Insurance Company Limited  (In Crore)</t>
  </si>
  <si>
    <t>Max Life Insurance Company Limited (In Crore)</t>
  </si>
  <si>
    <t>Kotak Mahindra Life Insurance Company Limited   (In Crore)</t>
  </si>
  <si>
    <t>IndiaFirst Life Insurance Company Limited in  (In Crore)</t>
  </si>
  <si>
    <t>ICICI Prudential Life Insurance Company Limited  (In Crore)</t>
  </si>
  <si>
    <t>HDFC Life Insurance Company Limited   (In Crore)</t>
  </si>
  <si>
    <t>Future Generali India Life Insurance Company Limited  (In Crore)</t>
  </si>
  <si>
    <t>Exide life Insurance Company Limited  (In Crore)</t>
  </si>
  <si>
    <t>Canara HSBC Oriental Bank of Commerce Life Insurance Company Limited (In Crore)</t>
  </si>
  <si>
    <t>Bharti AXA Life Insurance Private Limited  (In Crore)</t>
  </si>
  <si>
    <t>Bajaj Allianz Life Insurance Company Limited  (In Crore)</t>
  </si>
  <si>
    <t>Aditya Birla Sun Life Insurance Company Limited (In Crore)</t>
  </si>
  <si>
    <t xml:space="preserve">% of Gross NPA on Investment Assets </t>
  </si>
  <si>
    <t>Provision as a % of NPA</t>
  </si>
  <si>
    <t xml:space="preserve">Net Investment Assets </t>
  </si>
  <si>
    <t xml:space="preserve">Net NPA </t>
  </si>
  <si>
    <t xml:space="preserve">% of Net NPA to Net Investment Assets </t>
  </si>
  <si>
    <t>L33 :Details of Non Performing Assets (Life Fund)</t>
  </si>
  <si>
    <t xml:space="preserve">Edelweiss Tokio Life Insurance Company Limited 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</si>
  <si>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</si>
  <si>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</si>
  <si>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</si>
  <si>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</si>
  <si>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</si>
  <si>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</si>
  <si>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</si>
  <si>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</si>
  <si>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</si>
  <si>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</si>
  <si>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</si>
  <si>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</si>
  <si>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</si>
  <si>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</si>
  <si>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</si>
  <si>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</si>
  <si>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</si>
  <si>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</si>
  <si>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</si>
  <si>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</si>
  <si>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 xml:space="preserve"># Includes certain asset leased pursuant to operating lease agreements </t>
  </si>
  <si>
    <t>Upto Q4 1819</t>
  </si>
  <si>
    <t xml:space="preserve">Excess in  Policyholders' funds </t>
  </si>
  <si>
    <t xml:space="preserve">Excess in Shareholders' funds </t>
  </si>
  <si>
    <t>Exide life Insurance Company Limited (Upto Q4)</t>
  </si>
  <si>
    <t>Future Generali India Life Insurance Company Limited (For Q4)</t>
  </si>
  <si>
    <t>IDBI Federal Life Insurance Company Limited (For Q4)</t>
  </si>
  <si>
    <t>IndiaFirst Life Insurance Company Limited (For Q4)</t>
  </si>
  <si>
    <t>Star Union Dai-ichi Life Insurance Company Limited (For Q4)</t>
  </si>
  <si>
    <t>Aditya Birla Sun Life Insurance Company Limited (For Q4)</t>
  </si>
  <si>
    <t>Aegon Life Insurance Company Limited (For Q4)</t>
  </si>
  <si>
    <t>Aviva Life Insurance Company India Private Limited (For Q4)</t>
  </si>
  <si>
    <t>Bharti AXA Life Insurance Private Limited (For Q4)</t>
  </si>
  <si>
    <t>Canara HSBC Oriental Bank of Commerce Life Insurance Company Limited (For Q4)</t>
  </si>
  <si>
    <t>Edelweiss Tokio Life Insurance Company Limited (For Q4)</t>
  </si>
  <si>
    <t>HDFC Life Insurance Company Limited (For Q4)</t>
  </si>
  <si>
    <t>Max Life Insurance Company Limited (For Q4)</t>
  </si>
  <si>
    <t>PNB MetLife India Insurance Company Limited (For Q4)</t>
  </si>
  <si>
    <t>Reliance Nippon Life Insurance Company Limited (For Q4)</t>
  </si>
  <si>
    <t>Sahara India Life Insurance Company Limited(For Q4)</t>
  </si>
  <si>
    <t>SBI Life Insurance Company Limited (For Q4)</t>
  </si>
  <si>
    <t>Shriram Life Insurance Company Limited (For Q4)</t>
  </si>
  <si>
    <t>Life Insurance Corporation of India (Upto Q4)</t>
  </si>
  <si>
    <t>online</t>
  </si>
  <si>
    <t>Previous period ended March,2018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</si>
  <si>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</si>
  <si>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</si>
  <si>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</si>
  <si>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</si>
  <si>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</si>
  <si>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</si>
  <si>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</si>
  <si>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</si>
  <si>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</si>
  <si>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</si>
  <si>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</si>
  <si>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</si>
  <si>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</si>
  <si>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</si>
  <si>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</si>
  <si>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</si>
  <si>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</si>
  <si>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</si>
  <si>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L 39 - Quarterly Individual Ageing of Claims (Q4)</t>
  </si>
  <si>
    <t>Form L-17-Cash and Bank Balance Schedule (` in '000)</t>
  </si>
  <si>
    <t>(c) Others-Provision</t>
  </si>
  <si>
    <t>Upto Q41819</t>
  </si>
  <si>
    <t>Form L-15-Loans Schedule  (` in '000)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</si>
  <si>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</si>
  <si>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</si>
  <si>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</si>
  <si>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</si>
  <si>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</si>
  <si>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</si>
  <si>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</si>
  <si>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</si>
  <si>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</si>
  <si>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</si>
  <si>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</si>
  <si>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</si>
  <si>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</si>
  <si>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</si>
  <si>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</si>
  <si>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</si>
  <si>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</si>
  <si>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</si>
  <si>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</si>
  <si>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</si>
  <si>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</si>
  <si>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</si>
  <si>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</si>
  <si>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</si>
  <si>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</si>
  <si>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</si>
  <si>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</si>
  <si>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</si>
  <si>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</si>
  <si>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</si>
  <si>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</si>
  <si>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</si>
  <si>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</si>
  <si>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</si>
  <si>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</si>
  <si>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</si>
  <si>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</si>
  <si>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</si>
  <si>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</si>
  <si>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</si>
  <si>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</si>
  <si>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</si>
  <si>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</si>
  <si>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</si>
  <si>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</si>
  <si>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</si>
  <si>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</si>
  <si>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</si>
  <si>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</si>
  <si>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</si>
  <si>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</si>
  <si>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</si>
  <si>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</si>
  <si>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</si>
  <si>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</si>
  <si>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</si>
  <si>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</si>
  <si>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</si>
  <si>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</si>
  <si>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</si>
  <si>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</si>
  <si>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</si>
  <si>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</si>
  <si>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</si>
  <si>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</si>
  <si>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</si>
  <si>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</si>
  <si>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</si>
  <si>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</si>
  <si>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</si>
  <si>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</si>
  <si>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</si>
  <si>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AS at 31.03.2019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</si>
  <si>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</si>
  <si>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</si>
  <si>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</si>
  <si>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</si>
  <si>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</si>
  <si>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</si>
  <si>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</si>
  <si>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</si>
  <si>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</si>
  <si>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</si>
  <si>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</si>
  <si>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</si>
  <si>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</si>
  <si>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</si>
  <si>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</si>
  <si>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</si>
  <si>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</si>
  <si>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</si>
  <si>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</si>
  <si>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</si>
  <si>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</si>
  <si>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</si>
  <si>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</si>
  <si>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</si>
  <si>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</si>
  <si>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</si>
  <si>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</si>
  <si>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</si>
  <si>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</si>
  <si>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</si>
  <si>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</si>
  <si>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Shriram Life Insurance Company Limited For Q4</t>
  </si>
  <si>
    <t>-</t>
  </si>
  <si>
    <t>(f) Corporate Social Responsibility expenses</t>
  </si>
  <si>
    <t>(f) Unrealised Gains</t>
  </si>
  <si>
    <t>Transfer from Linked Fund (Lapsed policies)</t>
  </si>
  <si>
    <t>Tata AIA Life Insurance Company Limited (upto)</t>
  </si>
  <si>
    <t>Exide life Insurance Company Limited (upto)</t>
  </si>
  <si>
    <t xml:space="preserve">Claims Settled during the period 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</si>
  <si>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</si>
  <si>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</si>
  <si>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</si>
  <si>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</si>
  <si>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</si>
  <si>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</si>
  <si>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</si>
  <si>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</si>
  <si>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</si>
  <si>
    <t>Upto Q4 2020</t>
  </si>
  <si>
    <t>Upto Q4 1920</t>
  </si>
  <si>
    <t>AS at 31.03.2020</t>
  </si>
  <si>
    <t>As at 31st March,2020</t>
  </si>
  <si>
    <t>FORM L-24  Valuation of net liabiltiies: As at 31.03.2020</t>
  </si>
  <si>
    <t>Adjusted Value March 2020</t>
  </si>
  <si>
    <t>Adjusted Value March 2020 In Lakhs</t>
  </si>
  <si>
    <t>L-40: CLAIMS DATA LIFE QUARTER ENDED March 2020</t>
  </si>
  <si>
    <t>ICICI Prudential Life Insurance Company Limited YTD</t>
  </si>
  <si>
    <t>Net Commission including rewards (A+B)</t>
  </si>
  <si>
    <t>Net commission (A)</t>
  </si>
  <si>
    <t>Rewards and/or remuneration to agents, brokers or other intermediaries (B)</t>
  </si>
  <si>
    <t>Bharti AXA Life Insurance Private Limited   For Q4</t>
  </si>
  <si>
    <t>IDBI Federal Life Insurance Company Limited  For Q4</t>
  </si>
  <si>
    <t>L25 :Geographical Representation of Life Insurance Business</t>
  </si>
  <si>
    <t>Individual Business</t>
  </si>
  <si>
    <t xml:space="preserve">Aditya Birla Sun Life Insurance Company Limited </t>
  </si>
  <si>
    <t xml:space="preserve">Bajaj Allianz Life Insurance Company Limited  </t>
  </si>
  <si>
    <t xml:space="preserve">Bharti AXA Life Insurance Private Limited  </t>
  </si>
  <si>
    <t xml:space="preserve">Canara HSBC Oriental Bank of Commerce Life Insurance Company Limited </t>
  </si>
  <si>
    <t xml:space="preserve">Exide life Insurance Company Limited  </t>
  </si>
  <si>
    <t xml:space="preserve">HDFC Life Insurance Company Limited   </t>
  </si>
  <si>
    <t xml:space="preserve">PNB MetLife India Insurance Company Limited </t>
  </si>
  <si>
    <t xml:space="preserve">Shriram Life Insurance Company Limited </t>
  </si>
  <si>
    <t>Life Industry Total</t>
  </si>
  <si>
    <t>Rural(Individual)</t>
  </si>
  <si>
    <t>Urban(Individual)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</si>
  <si>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</si>
  <si>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</si>
  <si>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</si>
  <si>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</si>
  <si>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>First year Premium</t>
  </si>
  <si>
    <t>Aditya Birla Sun Life Insurance Company Limited (Lakhs)</t>
  </si>
  <si>
    <t>Aegon Life Insurance Company Limited (Lakhs)</t>
  </si>
  <si>
    <t>Aviva Life Insurance Company India Private Limited (Lakhs)</t>
  </si>
  <si>
    <t>Bajaj Allianz Life Insurance Company Limited (Lakhs)</t>
  </si>
  <si>
    <t>Bharti AXA Life Insurance Private Limited (Crores)</t>
  </si>
  <si>
    <t>Canara HSBC Oriental Bank of Commerce Life Insurance Company Limited (lakhs)</t>
  </si>
  <si>
    <t>Edelweiss Tokio Life Insurance Company Limited (Crores)</t>
  </si>
  <si>
    <t>Exide life Insurance Company Limited (Lakhs)</t>
  </si>
  <si>
    <t>Future Generali India Life Insurance Company Limited (Lakhs)</t>
  </si>
  <si>
    <t>HDFC Life Insurance Company Limited (Lakhs)</t>
  </si>
  <si>
    <t>ICICI Prudential Life Insurance Company Limited (Lakhs)</t>
  </si>
  <si>
    <t>IDBI Federal Life Insurance Company Limited (Crores)</t>
  </si>
  <si>
    <t>IndiaFirst Life Insurance Company Limited (Lakhs)</t>
  </si>
  <si>
    <t>Kotak Mahindra Life Insurance Company Limited (Lakhs)</t>
  </si>
  <si>
    <t>Max Life Insurance Company Limited (Crores)</t>
  </si>
  <si>
    <t>PNB MetLife India Insurance Company Limited (Lakhs)</t>
  </si>
  <si>
    <t>Reliance Nippon Life Insurance Company Limited (Lakhs)</t>
  </si>
  <si>
    <t>SBI Life Insurance Company Limited (Crores)</t>
  </si>
  <si>
    <t>Shriram Life Insurance Company Limited (Lakhs)</t>
  </si>
  <si>
    <t>Star Union Dai-ichi Life Insurance Company Limited (Lakhs)</t>
  </si>
  <si>
    <t>Tata AIA Life Insurance Company Limited (Lakhs)</t>
  </si>
  <si>
    <t xml:space="preserve"> Premium </t>
  </si>
  <si>
    <t xml:space="preserve"> No. of Lives </t>
  </si>
  <si>
    <t>Sum Assured,Whereever Applicable</t>
  </si>
  <si>
    <t>i) Individual Single Premium- (ISP)</t>
  </si>
  <si>
    <t>From 0-10000</t>
  </si>
  <si>
    <t>From 10,000-25,000</t>
  </si>
  <si>
    <t>From 25001-50,000</t>
  </si>
  <si>
    <t>From 50,001- 75,000</t>
  </si>
  <si>
    <t>From  75,000-100,000</t>
  </si>
  <si>
    <t>From 1,00,001 -1,25,000</t>
  </si>
  <si>
    <t>Above Rs. 1,25,000</t>
  </si>
  <si>
    <t>ii) Individual Single Premium (ISPA)- Annuity</t>
  </si>
  <si>
    <t>From 0-50000</t>
  </si>
  <si>
    <t>From 50,001-100,000</t>
  </si>
  <si>
    <t>From 1,00,001-150,000</t>
  </si>
  <si>
    <t>From 150,001- 2,00,000</t>
  </si>
  <si>
    <t>From  2,00,,001-250,000</t>
  </si>
  <si>
    <t>From 2,50,001 -3,00,000</t>
  </si>
  <si>
    <t>Above Rs. 3,00,000</t>
  </si>
  <si>
    <t>iii) Group Single Premium (GSP)</t>
  </si>
  <si>
    <t>iv) Group Single Premium- Annuity- GSPA</t>
  </si>
  <si>
    <t>v) Individual non Single Premium- INSP</t>
  </si>
  <si>
    <t>vi) Individual non Single Premium- Annuity- INSPA</t>
  </si>
  <si>
    <t>vii) Group Non Single Premium (GNSP)</t>
  </si>
  <si>
    <t>viii) Group Non Single Premium- Annuity- GNSPA</t>
  </si>
  <si>
    <t>Aviva Life Insurance Company India Limited (Registration Code: 0122)</t>
  </si>
  <si>
    <t>FORM L-36 :Premium and number of lives covered by policy type As on 31st March 2020</t>
  </si>
  <si>
    <t>Aditya Birla Sun Life Insurance Company Limited YTD</t>
  </si>
  <si>
    <t>Bajaj Allianz Life Insurance Company Limited (YTD)</t>
  </si>
  <si>
    <t>Pramerica Life Insurance Company Limited</t>
  </si>
  <si>
    <t xml:space="preserve">Pramerica Life Insurance Company Limited  </t>
  </si>
  <si>
    <t>Pramerica Life Insurance Company Limited  (In Crore)</t>
  </si>
  <si>
    <t xml:space="preserve"> Pramerica Life Insurance Company Limited (Lakhs)</t>
  </si>
  <si>
    <t>Pramerica Life Insurance Company Limited (Upto Q4)</t>
  </si>
  <si>
    <t>Pramerica Life Insurance Company Limited (upto)</t>
  </si>
  <si>
    <t>Tata AIA Life Insurance Company Limited (UPTO Q4)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</si>
  <si>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</si>
  <si>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</si>
  <si>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</si>
  <si>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</si>
  <si>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</si>
  <si>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</si>
  <si>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</si>
  <si>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IDBI Federal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</si>
  <si>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</si>
  <si>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</si>
  <si>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</si>
  <si>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</si>
  <si>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</si>
  <si>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</si>
  <si>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</si>
  <si>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Deferred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</si>
  <si>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</si>
  <si>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</si>
  <si>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</si>
  <si>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</si>
  <si>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Non Unit Mathematical reserve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</si>
  <si>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</si>
  <si>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</si>
  <si>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</si>
  <si>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</si>
  <si>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</si>
  <si>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</si>
  <si>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</si>
  <si>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</si>
  <si>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</si>
  <si>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</si>
  <si>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</si>
  <si>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</si>
  <si>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</si>
  <si>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</si>
  <si>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</si>
  <si>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</si>
  <si>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</si>
  <si>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</si>
  <si>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L12</t>
    </r>
  </si>
  <si>
    <r>
      <t xml:space="preserve">Policyholders'  </t>
    </r>
    <r>
      <rPr>
        <b/>
        <sz val="8"/>
        <color indexed="30"/>
        <rFont val="Comic Sans MS"/>
        <family val="4"/>
      </rPr>
      <t>L13</t>
    </r>
  </si>
  <si>
    <r>
      <t>Assets Held To Cover Linked Liabilities</t>
    </r>
    <r>
      <rPr>
        <sz val="8"/>
        <color indexed="30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L14</t>
    </r>
  </si>
  <si>
    <t>Assets held to cover discontinued funds</t>
  </si>
  <si>
    <r>
      <t>Loans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L15</t>
    </r>
  </si>
  <si>
    <r>
      <t xml:space="preserve">Fixed Assets </t>
    </r>
    <r>
      <rPr>
        <b/>
        <sz val="8"/>
        <color indexed="30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</si>
  <si>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</si>
  <si>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</si>
  <si>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30"/>
        <rFont val="Comic Sans MS"/>
        <family val="4"/>
      </rPr>
      <t>L17</t>
    </r>
  </si>
  <si>
    <r>
      <t>Advances And Other Assets</t>
    </r>
    <r>
      <rPr>
        <b/>
        <sz val="8"/>
        <color indexed="30"/>
        <rFont val="Comic Sans MS"/>
        <family val="4"/>
      </rPr>
      <t xml:space="preserve"> L18</t>
    </r>
  </si>
  <si>
    <t>Sub-Total (A)</t>
  </si>
  <si>
    <r>
      <t xml:space="preserve">Current Liabilities </t>
    </r>
    <r>
      <rPr>
        <b/>
        <sz val="8"/>
        <color indexed="30"/>
        <rFont val="Comic Sans MS"/>
        <family val="4"/>
      </rPr>
      <t>L19</t>
    </r>
  </si>
  <si>
    <r>
      <t xml:space="preserve">Provisions </t>
    </r>
    <r>
      <rPr>
        <b/>
        <sz val="8"/>
        <color indexed="30"/>
        <rFont val="Comic Sans MS"/>
        <family val="4"/>
      </rPr>
      <t>L20</t>
    </r>
  </si>
  <si>
    <r>
      <t xml:space="preserve">Sub-Total </t>
    </r>
    <r>
      <rPr>
        <b/>
        <sz val="8"/>
        <color indexed="30"/>
        <rFont val="Comic Sans MS"/>
        <family val="4"/>
      </rPr>
      <t>(B)</t>
    </r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</si>
  <si>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</si>
  <si>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</si>
  <si>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</si>
  <si>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</si>
  <si>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</si>
  <si>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</si>
  <si>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</si>
  <si>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</si>
  <si>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</si>
  <si>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</si>
  <si>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</si>
  <si>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</si>
  <si>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</si>
  <si>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Audited as at 31st March 2020</t>
  </si>
  <si>
    <t>ICICI Prudential Life Insurance Company Limited (YTD)</t>
  </si>
  <si>
    <t>253,2</t>
  </si>
  <si>
    <r>
      <t xml:space="preserve">L-16: - Fixed Assets Schedules </t>
    </r>
    <r>
      <rPr>
        <b/>
        <sz val="10"/>
        <color indexed="8"/>
        <rFont val="Comic Sans MS"/>
        <family val="4"/>
      </rPr>
      <t>(As at 31.03.2020)</t>
    </r>
  </si>
  <si>
    <t>IndiaFirst Life Insurance Company Limited  For Q-4</t>
  </si>
  <si>
    <t>(c) Provision for non-standard assests</t>
  </si>
  <si>
    <t xml:space="preserve">Future Generali India Life Insurance Company Limited Upto  </t>
  </si>
  <si>
    <t>Kotak Mahindra Life Insurance Company Limited (Upto Q4)</t>
  </si>
  <si>
    <t>Provision for current tax</t>
  </si>
  <si>
    <r>
      <rPr>
        <b/>
        <sz val="9"/>
        <rFont val="Comic Sans MS"/>
        <family val="4"/>
      </rPr>
      <t>Profit / (Loss) after tax</t>
    </r>
  </si>
  <si>
    <t>.-Current Tax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</si>
</sst>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#0"/>
    <numFmt numFmtId="166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name val="Cambria"/>
      <family val="1"/>
    </font>
    <font>
      <b/>
      <sz val="8"/>
      <name val="Arial"/>
      <family val="2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b/>
      <sz val="9"/>
      <color indexed="10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i/>
      <sz val="9"/>
      <color indexed="8"/>
      <name val="Comic Sans MS"/>
      <family val="4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omic Sans MS"/>
      <family val="4"/>
    </font>
    <font>
      <sz val="8"/>
      <color indexed="10"/>
      <name val="Comic Sans MS"/>
      <family val="4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i/>
      <sz val="8"/>
      <color indexed="8"/>
      <name val="Comic Sans MS"/>
      <family val="4"/>
    </font>
    <font>
      <b/>
      <sz val="8"/>
      <color indexed="62"/>
      <name val="Comic Sans MS"/>
      <family val="4"/>
    </font>
    <font>
      <sz val="11"/>
      <color indexed="62"/>
      <name val="Comic Sans MS"/>
      <family val="4"/>
    </font>
    <font>
      <sz val="11"/>
      <color indexed="62"/>
      <name val="Calibri"/>
      <family val="2"/>
    </font>
    <font>
      <sz val="8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8"/>
      <color indexed="62"/>
      <name val="Cambria"/>
      <family val="1"/>
    </font>
    <font>
      <b/>
      <sz val="11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9"/>
      <color indexed="30"/>
      <name val="Cambria"/>
      <family val="1"/>
    </font>
    <font>
      <b/>
      <sz val="10"/>
      <color indexed="30"/>
      <name val="Comic Sans MS"/>
      <family val="4"/>
    </font>
    <font>
      <b/>
      <sz val="9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Arial"/>
      <family val="2"/>
    </font>
    <font>
      <b/>
      <u val="single"/>
      <sz val="10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i/>
      <sz val="9"/>
      <color theme="1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sz val="8"/>
      <color rgb="FFFF0000"/>
      <name val="Comic Sans MS"/>
      <family val="4"/>
    </font>
    <font>
      <sz val="8"/>
      <color rgb="FFFF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i/>
      <sz val="8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b/>
      <sz val="8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8"/>
      <color theme="8"/>
      <name val="Cambria"/>
      <family val="1"/>
    </font>
    <font>
      <b/>
      <sz val="11"/>
      <color theme="1"/>
      <name val="Comic Sans MS"/>
      <family val="4"/>
    </font>
    <font>
      <b/>
      <sz val="8"/>
      <color rgb="FF0070C0"/>
      <name val="Comic Sans MS"/>
      <family val="4"/>
    </font>
    <font>
      <sz val="8"/>
      <color rgb="FF0070C0"/>
      <name val="Comic Sans MS"/>
      <family val="4"/>
    </font>
    <font>
      <b/>
      <i/>
      <sz val="9"/>
      <color theme="8"/>
      <name val="Comic Sans MS"/>
      <family val="4"/>
    </font>
    <font>
      <b/>
      <sz val="9"/>
      <color rgb="FF0070C0"/>
      <name val="Cambria"/>
      <family val="1"/>
    </font>
    <font>
      <b/>
      <sz val="10"/>
      <color rgb="FF0070C0"/>
      <name val="Comic Sans MS"/>
      <family val="4"/>
    </font>
    <font>
      <b/>
      <sz val="9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4"/>
      <color theme="1"/>
      <name val="Comic Sans MS"/>
      <family val="4"/>
    </font>
    <font>
      <sz val="10"/>
      <color rgb="FF000000"/>
      <name val="Comic Sans MS"/>
      <family val="4"/>
    </font>
    <font>
      <b/>
      <sz val="10"/>
      <color theme="1"/>
      <name val="Arial"/>
      <family val="2"/>
    </font>
    <font>
      <b/>
      <u val="single"/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884">
    <xf numFmtId="0" fontId="0" fillId="0" borderId="0" xfId="0" applyFont="1" applyAlignment="1">
      <alignment/>
    </xf>
    <xf numFmtId="0" fontId="84" fillId="0" borderId="10" xfId="0" applyFont="1" applyBorder="1" applyAlignment="1">
      <alignment horizontal="left" vertical="center"/>
    </xf>
    <xf numFmtId="2" fontId="85" fillId="0" borderId="11" xfId="0" applyNumberFormat="1" applyFont="1" applyBorder="1" applyAlignment="1">
      <alignment horizontal="left"/>
    </xf>
    <xf numFmtId="2" fontId="85" fillId="0" borderId="12" xfId="0" applyNumberFormat="1" applyFont="1" applyBorder="1" applyAlignment="1">
      <alignment horizontal="left"/>
    </xf>
    <xf numFmtId="2" fontId="85" fillId="0" borderId="10" xfId="0" applyNumberFormat="1" applyFont="1" applyBorder="1" applyAlignment="1">
      <alignment horizontal="left"/>
    </xf>
    <xf numFmtId="2" fontId="85" fillId="0" borderId="12" xfId="44" applyNumberFormat="1" applyFont="1" applyBorder="1" applyAlignment="1">
      <alignment horizontal="left"/>
    </xf>
    <xf numFmtId="2" fontId="85" fillId="0" borderId="10" xfId="44" applyNumberFormat="1" applyFont="1" applyBorder="1" applyAlignment="1">
      <alignment horizontal="left"/>
    </xf>
    <xf numFmtId="2" fontId="84" fillId="0" borderId="11" xfId="0" applyNumberFormat="1" applyFont="1" applyBorder="1" applyAlignment="1">
      <alignment horizontal="left"/>
    </xf>
    <xf numFmtId="2" fontId="84" fillId="0" borderId="12" xfId="0" applyNumberFormat="1" applyFont="1" applyBorder="1" applyAlignment="1">
      <alignment horizontal="left"/>
    </xf>
    <xf numFmtId="2" fontId="84" fillId="0" borderId="10" xfId="0" applyNumberFormat="1" applyFont="1" applyBorder="1" applyAlignment="1">
      <alignment horizontal="left"/>
    </xf>
    <xf numFmtId="2" fontId="86" fillId="0" borderId="12" xfId="0" applyNumberFormat="1" applyFont="1" applyBorder="1" applyAlignment="1">
      <alignment horizontal="left"/>
    </xf>
    <xf numFmtId="2" fontId="86" fillId="0" borderId="10" xfId="0" applyNumberFormat="1" applyFont="1" applyBorder="1" applyAlignment="1">
      <alignment horizontal="left"/>
    </xf>
    <xf numFmtId="2" fontId="85" fillId="0" borderId="13" xfId="0" applyNumberFormat="1" applyFont="1" applyBorder="1" applyAlignment="1">
      <alignment horizontal="left"/>
    </xf>
    <xf numFmtId="0" fontId="85" fillId="0" borderId="0" xfId="0" applyFont="1" applyAlignment="1">
      <alignment horizontal="left"/>
    </xf>
    <xf numFmtId="1" fontId="85" fillId="0" borderId="12" xfId="0" applyNumberFormat="1" applyFont="1" applyBorder="1" applyAlignment="1">
      <alignment horizontal="left" vertical="center"/>
    </xf>
    <xf numFmtId="1" fontId="84" fillId="0" borderId="12" xfId="0" applyNumberFormat="1" applyFont="1" applyBorder="1" applyAlignment="1">
      <alignment horizontal="left" vertical="center"/>
    </xf>
    <xf numFmtId="1" fontId="84" fillId="0" borderId="11" xfId="0" applyNumberFormat="1" applyFont="1" applyBorder="1" applyAlignment="1">
      <alignment horizontal="left" vertical="center"/>
    </xf>
    <xf numFmtId="1" fontId="84" fillId="0" borderId="14" xfId="0" applyNumberFormat="1" applyFont="1" applyBorder="1" applyAlignment="1">
      <alignment horizontal="left" vertical="center"/>
    </xf>
    <xf numFmtId="1" fontId="84" fillId="0" borderId="10" xfId="0" applyNumberFormat="1" applyFont="1" applyBorder="1" applyAlignment="1">
      <alignment horizontal="left" vertical="center"/>
    </xf>
    <xf numFmtId="3" fontId="87" fillId="0" borderId="14" xfId="0" applyNumberFormat="1" applyFont="1" applyBorder="1" applyAlignment="1">
      <alignment horizontal="left"/>
    </xf>
    <xf numFmtId="3" fontId="87" fillId="0" borderId="12" xfId="0" applyNumberFormat="1" applyFont="1" applyBorder="1" applyAlignment="1">
      <alignment horizontal="left"/>
    </xf>
    <xf numFmtId="3" fontId="87" fillId="0" borderId="10" xfId="0" applyNumberFormat="1" applyFont="1" applyBorder="1" applyAlignment="1">
      <alignment horizontal="left"/>
    </xf>
    <xf numFmtId="1" fontId="85" fillId="0" borderId="12" xfId="0" applyNumberFormat="1" applyFont="1" applyBorder="1" applyAlignment="1">
      <alignment horizontal="left"/>
    </xf>
    <xf numFmtId="1" fontId="85" fillId="0" borderId="15" xfId="0" applyNumberFormat="1" applyFont="1" applyBorder="1" applyAlignment="1">
      <alignment horizontal="left"/>
    </xf>
    <xf numFmtId="2" fontId="85" fillId="0" borderId="14" xfId="0" applyNumberFormat="1" applyFont="1" applyBorder="1" applyAlignment="1">
      <alignment horizontal="left"/>
    </xf>
    <xf numFmtId="1" fontId="85" fillId="0" borderId="14" xfId="0" applyNumberFormat="1" applyFont="1" applyBorder="1" applyAlignment="1">
      <alignment horizontal="left"/>
    </xf>
    <xf numFmtId="1" fontId="85" fillId="0" borderId="10" xfId="0" applyNumberFormat="1" applyFont="1" applyBorder="1" applyAlignment="1">
      <alignment horizontal="left"/>
    </xf>
    <xf numFmtId="1" fontId="85" fillId="0" borderId="12" xfId="44" applyNumberFormat="1" applyFont="1" applyBorder="1" applyAlignment="1">
      <alignment horizontal="left"/>
    </xf>
    <xf numFmtId="1" fontId="85" fillId="0" borderId="10" xfId="44" applyNumberFormat="1" applyFont="1" applyBorder="1" applyAlignment="1">
      <alignment horizontal="left"/>
    </xf>
    <xf numFmtId="2" fontId="85" fillId="0" borderId="14" xfId="0" applyNumberFormat="1" applyFont="1" applyBorder="1" applyAlignment="1">
      <alignment horizontal="left" wrapText="1"/>
    </xf>
    <xf numFmtId="1" fontId="85" fillId="0" borderId="12" xfId="0" applyNumberFormat="1" applyFont="1" applyFill="1" applyBorder="1" applyAlignment="1">
      <alignment horizontal="left"/>
    </xf>
    <xf numFmtId="1" fontId="85" fillId="0" borderId="10" xfId="0" applyNumberFormat="1" applyFont="1" applyFill="1" applyBorder="1" applyAlignment="1">
      <alignment horizontal="left"/>
    </xf>
    <xf numFmtId="1" fontId="85" fillId="0" borderId="12" xfId="42" applyNumberFormat="1" applyFont="1" applyBorder="1" applyAlignment="1">
      <alignment horizontal="left"/>
    </xf>
    <xf numFmtId="1" fontId="85" fillId="0" borderId="10" xfId="42" applyNumberFormat="1" applyFont="1" applyBorder="1" applyAlignment="1">
      <alignment horizontal="left"/>
    </xf>
    <xf numFmtId="1" fontId="84" fillId="0" borderId="12" xfId="42" applyNumberFormat="1" applyFont="1" applyBorder="1" applyAlignment="1">
      <alignment horizontal="left"/>
    </xf>
    <xf numFmtId="1" fontId="84" fillId="0" borderId="10" xfId="42" applyNumberFormat="1" applyFont="1" applyBorder="1" applyAlignment="1">
      <alignment horizontal="left"/>
    </xf>
    <xf numFmtId="0" fontId="87" fillId="0" borderId="14" xfId="0" applyFont="1" applyBorder="1" applyAlignment="1">
      <alignment horizontal="left"/>
    </xf>
    <xf numFmtId="0" fontId="87" fillId="0" borderId="12" xfId="0" applyFont="1" applyBorder="1" applyAlignment="1">
      <alignment horizontal="left"/>
    </xf>
    <xf numFmtId="1" fontId="84" fillId="0" borderId="12" xfId="0" applyNumberFormat="1" applyFont="1" applyBorder="1" applyAlignment="1">
      <alignment horizontal="left"/>
    </xf>
    <xf numFmtId="2" fontId="84" fillId="0" borderId="14" xfId="0" applyNumberFormat="1" applyFont="1" applyBorder="1" applyAlignment="1">
      <alignment horizontal="left"/>
    </xf>
    <xf numFmtId="1" fontId="84" fillId="0" borderId="14" xfId="0" applyNumberFormat="1" applyFont="1" applyBorder="1" applyAlignment="1">
      <alignment horizontal="left"/>
    </xf>
    <xf numFmtId="1" fontId="84" fillId="0" borderId="10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85" fillId="0" borderId="0" xfId="0" applyNumberFormat="1" applyFont="1" applyAlignment="1">
      <alignment horizontal="left"/>
    </xf>
    <xf numFmtId="1" fontId="84" fillId="0" borderId="16" xfId="0" applyNumberFormat="1" applyFont="1" applyBorder="1" applyAlignment="1">
      <alignment horizontal="left"/>
    </xf>
    <xf numFmtId="2" fontId="84" fillId="0" borderId="12" xfId="0" applyNumberFormat="1" applyFont="1" applyBorder="1" applyAlignment="1">
      <alignment horizontal="left" vertical="center"/>
    </xf>
    <xf numFmtId="1" fontId="85" fillId="0" borderId="16" xfId="44" applyNumberFormat="1" applyFont="1" applyBorder="1" applyAlignment="1">
      <alignment horizontal="left"/>
    </xf>
    <xf numFmtId="2" fontId="85" fillId="0" borderId="16" xfId="0" applyNumberFormat="1" applyFont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17" xfId="0" applyFont="1" applyBorder="1" applyAlignment="1">
      <alignment horizontal="left"/>
    </xf>
    <xf numFmtId="1" fontId="85" fillId="0" borderId="16" xfId="0" applyNumberFormat="1" applyFont="1" applyBorder="1" applyAlignment="1">
      <alignment horizontal="left" vertical="center"/>
    </xf>
    <xf numFmtId="1" fontId="85" fillId="0" borderId="18" xfId="0" applyNumberFormat="1" applyFont="1" applyBorder="1" applyAlignment="1">
      <alignment horizontal="left" vertical="center"/>
    </xf>
    <xf numFmtId="1" fontId="85" fillId="0" borderId="19" xfId="0" applyNumberFormat="1" applyFont="1" applyBorder="1" applyAlignment="1">
      <alignment horizontal="left"/>
    </xf>
    <xf numFmtId="1" fontId="85" fillId="0" borderId="16" xfId="0" applyNumberFormat="1" applyFont="1" applyBorder="1" applyAlignment="1">
      <alignment horizontal="left"/>
    </xf>
    <xf numFmtId="1" fontId="85" fillId="0" borderId="18" xfId="0" applyNumberFormat="1" applyFont="1" applyBorder="1" applyAlignment="1">
      <alignment horizontal="left"/>
    </xf>
    <xf numFmtId="2" fontId="85" fillId="0" borderId="18" xfId="0" applyNumberFormat="1" applyFont="1" applyBorder="1" applyAlignment="1">
      <alignment horizontal="left"/>
    </xf>
    <xf numFmtId="1" fontId="85" fillId="0" borderId="18" xfId="44" applyNumberFormat="1" applyFont="1" applyBorder="1" applyAlignment="1">
      <alignment horizontal="left"/>
    </xf>
    <xf numFmtId="1" fontId="85" fillId="0" borderId="16" xfId="0" applyNumberFormat="1" applyFont="1" applyFill="1" applyBorder="1" applyAlignment="1">
      <alignment horizontal="left"/>
    </xf>
    <xf numFmtId="1" fontId="85" fillId="0" borderId="18" xfId="0" applyNumberFormat="1" applyFont="1" applyFill="1" applyBorder="1" applyAlignment="1">
      <alignment horizontal="left"/>
    </xf>
    <xf numFmtId="1" fontId="85" fillId="0" borderId="16" xfId="42" applyNumberFormat="1" applyFont="1" applyBorder="1" applyAlignment="1">
      <alignment horizontal="left"/>
    </xf>
    <xf numFmtId="1" fontId="85" fillId="0" borderId="18" xfId="42" applyNumberFormat="1" applyFont="1" applyBorder="1" applyAlignment="1">
      <alignment horizontal="left"/>
    </xf>
    <xf numFmtId="1" fontId="84" fillId="0" borderId="19" xfId="0" applyNumberFormat="1" applyFont="1" applyBorder="1" applyAlignment="1">
      <alignment horizontal="left"/>
    </xf>
    <xf numFmtId="1" fontId="84" fillId="0" borderId="20" xfId="0" applyNumberFormat="1" applyFont="1" applyBorder="1" applyAlignment="1">
      <alignment horizontal="left"/>
    </xf>
    <xf numFmtId="2" fontId="85" fillId="0" borderId="0" xfId="0" applyNumberFormat="1" applyFont="1" applyAlignment="1">
      <alignment horizontal="left"/>
    </xf>
    <xf numFmtId="1" fontId="85" fillId="0" borderId="10" xfId="0" applyNumberFormat="1" applyFont="1" applyBorder="1" applyAlignment="1">
      <alignment horizontal="left" vertical="center"/>
    </xf>
    <xf numFmtId="1" fontId="84" fillId="0" borderId="13" xfId="0" applyNumberFormat="1" applyFont="1" applyBorder="1" applyAlignment="1">
      <alignment horizontal="left"/>
    </xf>
    <xf numFmtId="1" fontId="84" fillId="0" borderId="21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2" fontId="85" fillId="0" borderId="22" xfId="0" applyNumberFormat="1" applyFont="1" applyBorder="1" applyAlignment="1">
      <alignment horizontal="left" wrapText="1"/>
    </xf>
    <xf numFmtId="1" fontId="85" fillId="0" borderId="13" xfId="0" applyNumberFormat="1" applyFont="1" applyFill="1" applyBorder="1" applyAlignment="1">
      <alignment horizontal="left"/>
    </xf>
    <xf numFmtId="1" fontId="85" fillId="0" borderId="21" xfId="0" applyNumberFormat="1" applyFont="1" applyFill="1" applyBorder="1" applyAlignment="1">
      <alignment horizontal="left"/>
    </xf>
    <xf numFmtId="2" fontId="84" fillId="0" borderId="13" xfId="0" applyNumberFormat="1" applyFont="1" applyBorder="1" applyAlignment="1">
      <alignment horizontal="left"/>
    </xf>
    <xf numFmtId="2" fontId="84" fillId="0" borderId="21" xfId="0" applyNumberFormat="1" applyFont="1" applyBorder="1" applyAlignment="1">
      <alignment horizontal="left"/>
    </xf>
    <xf numFmtId="0" fontId="89" fillId="0" borderId="0" xfId="0" applyFont="1" applyAlignment="1">
      <alignment horizontal="left"/>
    </xf>
    <xf numFmtId="2" fontId="85" fillId="0" borderId="12" xfId="0" applyNumberFormat="1" applyFont="1" applyBorder="1" applyAlignment="1">
      <alignment horizontal="left" vertical="center"/>
    </xf>
    <xf numFmtId="2" fontId="85" fillId="0" borderId="15" xfId="0" applyNumberFormat="1" applyFont="1" applyBorder="1" applyAlignment="1">
      <alignment horizontal="left" vertical="center"/>
    </xf>
    <xf numFmtId="2" fontId="90" fillId="0" borderId="11" xfId="0" applyNumberFormat="1" applyFont="1" applyBorder="1" applyAlignment="1">
      <alignment horizontal="left"/>
    </xf>
    <xf numFmtId="2" fontId="90" fillId="0" borderId="12" xfId="0" applyNumberFormat="1" applyFont="1" applyBorder="1" applyAlignment="1">
      <alignment horizontal="left"/>
    </xf>
    <xf numFmtId="2" fontId="90" fillId="0" borderId="15" xfId="0" applyNumberFormat="1" applyFont="1" applyBorder="1" applyAlignment="1">
      <alignment horizontal="left"/>
    </xf>
    <xf numFmtId="2" fontId="90" fillId="0" borderId="10" xfId="0" applyNumberFormat="1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2" fontId="90" fillId="0" borderId="10" xfId="0" applyNumberFormat="1" applyFont="1" applyFill="1" applyBorder="1" applyAlignment="1">
      <alignment horizontal="left"/>
    </xf>
    <xf numFmtId="2" fontId="90" fillId="0" borderId="12" xfId="42" applyNumberFormat="1" applyFont="1" applyBorder="1" applyAlignment="1">
      <alignment horizontal="left"/>
    </xf>
    <xf numFmtId="2" fontId="90" fillId="0" borderId="10" xfId="42" applyNumberFormat="1" applyFont="1" applyBorder="1" applyAlignment="1">
      <alignment horizontal="left"/>
    </xf>
    <xf numFmtId="2" fontId="91" fillId="0" borderId="14" xfId="0" applyNumberFormat="1" applyFont="1" applyBorder="1" applyAlignment="1">
      <alignment horizontal="left"/>
    </xf>
    <xf numFmtId="2" fontId="90" fillId="0" borderId="11" xfId="42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/>
    </xf>
    <xf numFmtId="3" fontId="92" fillId="0" borderId="14" xfId="0" applyNumberFormat="1" applyFont="1" applyBorder="1" applyAlignment="1">
      <alignment horizontal="left"/>
    </xf>
    <xf numFmtId="3" fontId="92" fillId="0" borderId="10" xfId="0" applyNumberFormat="1" applyFont="1" applyBorder="1" applyAlignment="1">
      <alignment horizontal="left"/>
    </xf>
    <xf numFmtId="2" fontId="84" fillId="0" borderId="15" xfId="0" applyNumberFormat="1" applyFont="1" applyBorder="1" applyAlignment="1">
      <alignment horizontal="left" vertical="center"/>
    </xf>
    <xf numFmtId="2" fontId="91" fillId="0" borderId="12" xfId="0" applyNumberFormat="1" applyFont="1" applyBorder="1" applyAlignment="1">
      <alignment horizontal="left"/>
    </xf>
    <xf numFmtId="2" fontId="91" fillId="0" borderId="15" xfId="0" applyNumberFormat="1" applyFont="1" applyBorder="1" applyAlignment="1">
      <alignment horizontal="left"/>
    </xf>
    <xf numFmtId="2" fontId="9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86" fillId="0" borderId="12" xfId="0" applyNumberFormat="1" applyFont="1" applyBorder="1" applyAlignment="1">
      <alignment horizontal="left" vertical="center"/>
    </xf>
    <xf numFmtId="2" fontId="89" fillId="0" borderId="0" xfId="0" applyNumberFormat="1" applyFont="1" applyAlignment="1">
      <alignment horizontal="left"/>
    </xf>
    <xf numFmtId="2" fontId="84" fillId="0" borderId="12" xfId="44" applyNumberFormat="1" applyFont="1" applyBorder="1" applyAlignment="1">
      <alignment horizontal="left"/>
    </xf>
    <xf numFmtId="0" fontId="84" fillId="0" borderId="0" xfId="0" applyFont="1" applyAlignment="1">
      <alignment/>
    </xf>
    <xf numFmtId="0" fontId="93" fillId="0" borderId="0" xfId="0" applyFont="1" applyAlignment="1">
      <alignment horizontal="left"/>
    </xf>
    <xf numFmtId="2" fontId="84" fillId="0" borderId="14" xfId="0" applyNumberFormat="1" applyFont="1" applyBorder="1" applyAlignment="1">
      <alignment horizontal="left" vertical="center"/>
    </xf>
    <xf numFmtId="2" fontId="84" fillId="0" borderId="10" xfId="0" applyNumberFormat="1" applyFont="1" applyBorder="1" applyAlignment="1">
      <alignment horizontal="left" vertical="center"/>
    </xf>
    <xf numFmtId="0" fontId="84" fillId="0" borderId="0" xfId="0" applyFont="1" applyAlignment="1">
      <alignment horizontal="left"/>
    </xf>
    <xf numFmtId="2" fontId="84" fillId="0" borderId="15" xfId="0" applyNumberFormat="1" applyFont="1" applyBorder="1" applyAlignment="1">
      <alignment horizontal="left"/>
    </xf>
    <xf numFmtId="2" fontId="84" fillId="0" borderId="10" xfId="0" applyNumberFormat="1" applyFont="1" applyFill="1" applyBorder="1" applyAlignment="1">
      <alignment horizontal="left"/>
    </xf>
    <xf numFmtId="2" fontId="84" fillId="0" borderId="11" xfId="42" applyNumberFormat="1" applyFont="1" applyBorder="1" applyAlignment="1">
      <alignment horizontal="left"/>
    </xf>
    <xf numFmtId="2" fontId="84" fillId="0" borderId="12" xfId="42" applyNumberFormat="1" applyFont="1" applyBorder="1" applyAlignment="1">
      <alignment horizontal="left"/>
    </xf>
    <xf numFmtId="2" fontId="84" fillId="0" borderId="10" xfId="42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94" fillId="0" borderId="23" xfId="0" applyFont="1" applyBorder="1" applyAlignment="1">
      <alignment horizontal="left"/>
    </xf>
    <xf numFmtId="2" fontId="86" fillId="0" borderId="10" xfId="0" applyNumberFormat="1" applyFont="1" applyBorder="1" applyAlignment="1">
      <alignment horizontal="left" vertical="center"/>
    </xf>
    <xf numFmtId="0" fontId="89" fillId="0" borderId="0" xfId="0" applyFont="1" applyAlignment="1">
      <alignment/>
    </xf>
    <xf numFmtId="0" fontId="92" fillId="0" borderId="24" xfId="0" applyFont="1" applyBorder="1" applyAlignment="1">
      <alignment horizontal="left"/>
    </xf>
    <xf numFmtId="0" fontId="95" fillId="0" borderId="12" xfId="0" applyFont="1" applyBorder="1" applyAlignment="1">
      <alignment horizontal="left"/>
    </xf>
    <xf numFmtId="0" fontId="95" fillId="0" borderId="10" xfId="0" applyFont="1" applyBorder="1" applyAlignment="1">
      <alignment horizontal="left"/>
    </xf>
    <xf numFmtId="0" fontId="95" fillId="0" borderId="0" xfId="0" applyFont="1" applyAlignment="1">
      <alignment horizontal="left"/>
    </xf>
    <xf numFmtId="2" fontId="95" fillId="0" borderId="10" xfId="0" applyNumberFormat="1" applyFont="1" applyBorder="1" applyAlignment="1">
      <alignment horizontal="left" vertical="center"/>
    </xf>
    <xf numFmtId="2" fontId="95" fillId="0" borderId="11" xfId="0" applyNumberFormat="1" applyFont="1" applyBorder="1" applyAlignment="1">
      <alignment horizontal="left"/>
    </xf>
    <xf numFmtId="2" fontId="95" fillId="0" borderId="12" xfId="0" applyNumberFormat="1" applyFont="1" applyBorder="1" applyAlignment="1">
      <alignment horizontal="left"/>
    </xf>
    <xf numFmtId="2" fontId="95" fillId="0" borderId="10" xfId="0" applyNumberFormat="1" applyFont="1" applyBorder="1" applyAlignment="1">
      <alignment horizontal="left"/>
    </xf>
    <xf numFmtId="1" fontId="95" fillId="0" borderId="11" xfId="0" applyNumberFormat="1" applyFont="1" applyBorder="1" applyAlignment="1">
      <alignment horizontal="left"/>
    </xf>
    <xf numFmtId="1" fontId="95" fillId="0" borderId="12" xfId="0" applyNumberFormat="1" applyFont="1" applyBorder="1" applyAlignment="1">
      <alignment horizontal="left"/>
    </xf>
    <xf numFmtId="1" fontId="95" fillId="0" borderId="10" xfId="0" applyNumberFormat="1" applyFont="1" applyBorder="1" applyAlignment="1">
      <alignment horizontal="left"/>
    </xf>
    <xf numFmtId="2" fontId="95" fillId="0" borderId="10" xfId="44" applyNumberFormat="1" applyFont="1" applyBorder="1" applyAlignment="1">
      <alignment horizontal="left"/>
    </xf>
    <xf numFmtId="2" fontId="95" fillId="0" borderId="12" xfId="0" applyNumberFormat="1" applyFont="1" applyFill="1" applyBorder="1" applyAlignment="1">
      <alignment horizontal="left"/>
    </xf>
    <xf numFmtId="2" fontId="95" fillId="0" borderId="12" xfId="42" applyNumberFormat="1" applyFont="1" applyBorder="1" applyAlignment="1">
      <alignment horizontal="left"/>
    </xf>
    <xf numFmtId="2" fontId="95" fillId="0" borderId="10" xfId="42" applyNumberFormat="1" applyFont="1" applyBorder="1" applyAlignment="1">
      <alignment horizontal="left"/>
    </xf>
    <xf numFmtId="2" fontId="93" fillId="0" borderId="25" xfId="0" applyNumberFormat="1" applyFont="1" applyBorder="1" applyAlignment="1">
      <alignment horizontal="left"/>
    </xf>
    <xf numFmtId="2" fontId="93" fillId="0" borderId="26" xfId="0" applyNumberFormat="1" applyFont="1" applyBorder="1" applyAlignment="1">
      <alignment horizontal="left"/>
    </xf>
    <xf numFmtId="2" fontId="93" fillId="0" borderId="12" xfId="0" applyNumberFormat="1" applyFont="1" applyBorder="1" applyAlignment="1">
      <alignment horizontal="left"/>
    </xf>
    <xf numFmtId="1" fontId="95" fillId="0" borderId="10" xfId="0" applyNumberFormat="1" applyFont="1" applyBorder="1" applyAlignment="1">
      <alignment horizontal="left" vertical="center"/>
    </xf>
    <xf numFmtId="1" fontId="95" fillId="0" borderId="15" xfId="0" applyNumberFormat="1" applyFont="1" applyBorder="1" applyAlignment="1">
      <alignment horizontal="left"/>
    </xf>
    <xf numFmtId="1" fontId="95" fillId="0" borderId="0" xfId="0" applyNumberFormat="1" applyFont="1" applyBorder="1" applyAlignment="1">
      <alignment horizontal="left"/>
    </xf>
    <xf numFmtId="1" fontId="95" fillId="0" borderId="27" xfId="0" applyNumberFormat="1" applyFont="1" applyBorder="1" applyAlignment="1">
      <alignment horizontal="left"/>
    </xf>
    <xf numFmtId="3" fontId="92" fillId="0" borderId="11" xfId="0" applyNumberFormat="1" applyFont="1" applyBorder="1" applyAlignment="1">
      <alignment horizontal="left"/>
    </xf>
    <xf numFmtId="1" fontId="95" fillId="0" borderId="12" xfId="0" applyNumberFormat="1" applyFont="1" applyFill="1" applyBorder="1" applyAlignment="1">
      <alignment horizontal="left"/>
    </xf>
    <xf numFmtId="1" fontId="95" fillId="0" borderId="12" xfId="42" applyNumberFormat="1" applyFont="1" applyBorder="1" applyAlignment="1">
      <alignment horizontal="left"/>
    </xf>
    <xf numFmtId="1" fontId="95" fillId="0" borderId="10" xfId="42" applyNumberFormat="1" applyFont="1" applyBorder="1" applyAlignment="1">
      <alignment horizontal="left"/>
    </xf>
    <xf numFmtId="1" fontId="93" fillId="0" borderId="11" xfId="0" applyNumberFormat="1" applyFont="1" applyBorder="1" applyAlignment="1">
      <alignment horizontal="left"/>
    </xf>
    <xf numFmtId="1" fontId="93" fillId="0" borderId="24" xfId="0" applyNumberFormat="1" applyFont="1" applyBorder="1" applyAlignment="1">
      <alignment horizontal="left"/>
    </xf>
    <xf numFmtId="0" fontId="96" fillId="0" borderId="24" xfId="0" applyFont="1" applyBorder="1" applyAlignment="1">
      <alignment horizontal="left"/>
    </xf>
    <xf numFmtId="1" fontId="93" fillId="0" borderId="12" xfId="0" applyNumberFormat="1" applyFont="1" applyBorder="1" applyAlignment="1">
      <alignment horizontal="left"/>
    </xf>
    <xf numFmtId="1" fontId="93" fillId="0" borderId="10" xfId="0" applyNumberFormat="1" applyFont="1" applyBorder="1" applyAlignment="1">
      <alignment horizontal="left"/>
    </xf>
    <xf numFmtId="1" fontId="93" fillId="0" borderId="15" xfId="0" applyNumberFormat="1" applyFont="1" applyBorder="1" applyAlignment="1">
      <alignment horizontal="left"/>
    </xf>
    <xf numFmtId="1" fontId="89" fillId="0" borderId="0" xfId="0" applyNumberFormat="1" applyFont="1" applyAlignment="1">
      <alignment horizontal="left"/>
    </xf>
    <xf numFmtId="1" fontId="95" fillId="0" borderId="14" xfId="0" applyNumberFormat="1" applyFont="1" applyBorder="1" applyAlignment="1">
      <alignment horizontal="left"/>
    </xf>
    <xf numFmtId="1" fontId="95" fillId="0" borderId="15" xfId="0" applyNumberFormat="1" applyFont="1" applyFill="1" applyBorder="1" applyAlignment="1">
      <alignment horizontal="left"/>
    </xf>
    <xf numFmtId="1" fontId="95" fillId="0" borderId="15" xfId="42" applyNumberFormat="1" applyFont="1" applyBorder="1" applyAlignment="1">
      <alignment horizontal="left"/>
    </xf>
    <xf numFmtId="1" fontId="93" fillId="0" borderId="14" xfId="0" applyNumberFormat="1" applyFont="1" applyBorder="1" applyAlignment="1">
      <alignment horizontal="left"/>
    </xf>
    <xf numFmtId="1" fontId="93" fillId="0" borderId="26" xfId="0" applyNumberFormat="1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2" fontId="93" fillId="0" borderId="10" xfId="0" applyNumberFormat="1" applyFont="1" applyBorder="1" applyAlignment="1">
      <alignment horizontal="left" vertical="center"/>
    </xf>
    <xf numFmtId="2" fontId="93" fillId="0" borderId="10" xfId="0" applyNumberFormat="1" applyFont="1" applyBorder="1" applyAlignment="1">
      <alignment horizontal="left"/>
    </xf>
    <xf numFmtId="2" fontId="95" fillId="0" borderId="28" xfId="0" applyNumberFormat="1" applyFont="1" applyBorder="1" applyAlignment="1">
      <alignment horizontal="left" vertical="center"/>
    </xf>
    <xf numFmtId="2" fontId="95" fillId="0" borderId="29" xfId="0" applyNumberFormat="1" applyFont="1" applyBorder="1" applyAlignment="1">
      <alignment horizontal="left"/>
    </xf>
    <xf numFmtId="1" fontId="95" fillId="0" borderId="28" xfId="0" applyNumberFormat="1" applyFont="1" applyBorder="1" applyAlignment="1">
      <alignment horizontal="left"/>
    </xf>
    <xf numFmtId="1" fontId="95" fillId="0" borderId="30" xfId="0" applyNumberFormat="1" applyFont="1" applyBorder="1" applyAlignment="1">
      <alignment horizontal="left"/>
    </xf>
    <xf numFmtId="1" fontId="95" fillId="0" borderId="29" xfId="0" applyNumberFormat="1" applyFont="1" applyBorder="1" applyAlignment="1">
      <alignment horizontal="left"/>
    </xf>
    <xf numFmtId="2" fontId="95" fillId="0" borderId="28" xfId="0" applyNumberFormat="1" applyFont="1" applyBorder="1" applyAlignment="1">
      <alignment horizontal="left"/>
    </xf>
    <xf numFmtId="1" fontId="95" fillId="0" borderId="31" xfId="0" applyNumberFormat="1" applyFont="1" applyBorder="1" applyAlignment="1">
      <alignment horizontal="left"/>
    </xf>
    <xf numFmtId="1" fontId="95" fillId="0" borderId="32" xfId="0" applyNumberFormat="1" applyFont="1" applyBorder="1" applyAlignment="1">
      <alignment horizontal="left"/>
    </xf>
    <xf numFmtId="1" fontId="95" fillId="0" borderId="32" xfId="0" applyNumberFormat="1" applyFont="1" applyFill="1" applyBorder="1" applyAlignment="1">
      <alignment horizontal="left"/>
    </xf>
    <xf numFmtId="1" fontId="95" fillId="0" borderId="32" xfId="42" applyNumberFormat="1" applyFont="1" applyBorder="1" applyAlignment="1">
      <alignment horizontal="left"/>
    </xf>
    <xf numFmtId="1" fontId="93" fillId="0" borderId="31" xfId="0" applyNumberFormat="1" applyFont="1" applyBorder="1" applyAlignment="1">
      <alignment horizontal="left"/>
    </xf>
    <xf numFmtId="1" fontId="93" fillId="0" borderId="30" xfId="0" applyNumberFormat="1" applyFont="1" applyBorder="1" applyAlignment="1">
      <alignment horizontal="left"/>
    </xf>
    <xf numFmtId="1" fontId="93" fillId="0" borderId="33" xfId="0" applyNumberFormat="1" applyFont="1" applyBorder="1" applyAlignment="1">
      <alignment horizontal="left"/>
    </xf>
    <xf numFmtId="0" fontId="95" fillId="0" borderId="34" xfId="0" applyFont="1" applyBorder="1" applyAlignment="1">
      <alignment horizontal="left"/>
    </xf>
    <xf numFmtId="0" fontId="95" fillId="0" borderId="35" xfId="0" applyFont="1" applyBorder="1" applyAlignment="1">
      <alignment horizontal="left"/>
    </xf>
    <xf numFmtId="1" fontId="95" fillId="0" borderId="35" xfId="0" applyNumberFormat="1" applyFont="1" applyBorder="1" applyAlignment="1">
      <alignment horizontal="left"/>
    </xf>
    <xf numFmtId="1" fontId="95" fillId="0" borderId="34" xfId="0" applyNumberFormat="1" applyFont="1" applyBorder="1" applyAlignment="1">
      <alignment horizontal="left"/>
    </xf>
    <xf numFmtId="1" fontId="93" fillId="0" borderId="36" xfId="0" applyNumberFormat="1" applyFont="1" applyBorder="1" applyAlignment="1">
      <alignment horizontal="left"/>
    </xf>
    <xf numFmtId="1" fontId="93" fillId="0" borderId="35" xfId="0" applyNumberFormat="1" applyFont="1" applyBorder="1" applyAlignment="1">
      <alignment horizontal="left"/>
    </xf>
    <xf numFmtId="0" fontId="95" fillId="0" borderId="27" xfId="0" applyFont="1" applyBorder="1" applyAlignment="1">
      <alignment horizontal="left"/>
    </xf>
    <xf numFmtId="1" fontId="95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82" fillId="0" borderId="0" xfId="0" applyFont="1" applyAlignment="1">
      <alignment/>
    </xf>
    <xf numFmtId="0" fontId="96" fillId="0" borderId="37" xfId="0" applyFont="1" applyBorder="1" applyAlignment="1">
      <alignment horizontal="left"/>
    </xf>
    <xf numFmtId="0" fontId="93" fillId="0" borderId="16" xfId="0" applyFont="1" applyBorder="1" applyAlignment="1">
      <alignment horizontal="left" vertical="center"/>
    </xf>
    <xf numFmtId="0" fontId="93" fillId="0" borderId="18" xfId="0" applyFont="1" applyBorder="1" applyAlignment="1">
      <alignment horizontal="left" vertical="center"/>
    </xf>
    <xf numFmtId="1" fontId="93" fillId="0" borderId="18" xfId="0" applyNumberFormat="1" applyFont="1" applyBorder="1" applyAlignment="1">
      <alignment horizontal="left" vertical="center"/>
    </xf>
    <xf numFmtId="1" fontId="93" fillId="0" borderId="19" xfId="0" applyNumberFormat="1" applyFont="1" applyBorder="1" applyAlignment="1">
      <alignment horizontal="left" vertical="center"/>
    </xf>
    <xf numFmtId="1" fontId="93" fillId="0" borderId="16" xfId="0" applyNumberFormat="1" applyFont="1" applyBorder="1" applyAlignment="1">
      <alignment horizontal="left" vertical="center"/>
    </xf>
    <xf numFmtId="1" fontId="93" fillId="0" borderId="38" xfId="0" applyNumberFormat="1" applyFont="1" applyBorder="1" applyAlignment="1">
      <alignment horizontal="left" vertical="center"/>
    </xf>
    <xf numFmtId="1" fontId="93" fillId="0" borderId="39" xfId="0" applyNumberFormat="1" applyFont="1" applyBorder="1" applyAlignment="1">
      <alignment horizontal="left" vertical="center"/>
    </xf>
    <xf numFmtId="1" fontId="95" fillId="0" borderId="16" xfId="0" applyNumberFormat="1" applyFont="1" applyBorder="1" applyAlignment="1">
      <alignment horizontal="left"/>
    </xf>
    <xf numFmtId="1" fontId="95" fillId="0" borderId="18" xfId="0" applyNumberFormat="1" applyFont="1" applyBorder="1" applyAlignment="1">
      <alignment horizontal="left"/>
    </xf>
    <xf numFmtId="1" fontId="95" fillId="0" borderId="0" xfId="0" applyNumberFormat="1" applyFont="1" applyAlignment="1">
      <alignment/>
    </xf>
    <xf numFmtId="1" fontId="92" fillId="0" borderId="15" xfId="0" applyNumberFormat="1" applyFont="1" applyBorder="1" applyAlignment="1">
      <alignment horizontal="left"/>
    </xf>
    <xf numFmtId="1" fontId="96" fillId="0" borderId="15" xfId="0" applyNumberFormat="1" applyFont="1" applyBorder="1" applyAlignment="1">
      <alignment horizontal="left"/>
    </xf>
    <xf numFmtId="1" fontId="92" fillId="0" borderId="40" xfId="0" applyNumberFormat="1" applyFont="1" applyBorder="1" applyAlignment="1">
      <alignment horizontal="left"/>
    </xf>
    <xf numFmtId="1" fontId="90" fillId="0" borderId="11" xfId="0" applyNumberFormat="1" applyFont="1" applyBorder="1" applyAlignment="1">
      <alignment horizontal="left" vertical="center"/>
    </xf>
    <xf numFmtId="1" fontId="90" fillId="0" borderId="12" xfId="0" applyNumberFormat="1" applyFont="1" applyBorder="1" applyAlignment="1">
      <alignment horizontal="left" vertical="center"/>
    </xf>
    <xf numFmtId="1" fontId="90" fillId="0" borderId="10" xfId="0" applyNumberFormat="1" applyFont="1" applyBorder="1" applyAlignment="1">
      <alignment horizontal="left" vertical="center"/>
    </xf>
    <xf numFmtId="1" fontId="90" fillId="0" borderId="14" xfId="0" applyNumberFormat="1" applyFont="1" applyBorder="1" applyAlignment="1">
      <alignment horizontal="left"/>
    </xf>
    <xf numFmtId="1" fontId="90" fillId="0" borderId="12" xfId="0" applyNumberFormat="1" applyFont="1" applyBorder="1" applyAlignment="1">
      <alignment horizontal="left"/>
    </xf>
    <xf numFmtId="1" fontId="90" fillId="0" borderId="10" xfId="0" applyNumberFormat="1" applyFont="1" applyBorder="1" applyAlignment="1">
      <alignment horizontal="left"/>
    </xf>
    <xf numFmtId="1" fontId="90" fillId="0" borderId="12" xfId="44" applyNumberFormat="1" applyFont="1" applyBorder="1" applyAlignment="1">
      <alignment horizontal="left"/>
    </xf>
    <xf numFmtId="1" fontId="90" fillId="0" borderId="14" xfId="0" applyNumberFormat="1" applyFont="1" applyBorder="1" applyAlignment="1">
      <alignment horizontal="left" wrapText="1"/>
    </xf>
    <xf numFmtId="1" fontId="90" fillId="0" borderId="12" xfId="0" applyNumberFormat="1" applyFont="1" applyFill="1" applyBorder="1" applyAlignment="1">
      <alignment horizontal="left"/>
    </xf>
    <xf numFmtId="1" fontId="90" fillId="0" borderId="10" xfId="0" applyNumberFormat="1" applyFont="1" applyFill="1" applyBorder="1" applyAlignment="1">
      <alignment horizontal="left"/>
    </xf>
    <xf numFmtId="1" fontId="90" fillId="0" borderId="11" xfId="42" applyNumberFormat="1" applyFont="1" applyBorder="1" applyAlignment="1">
      <alignment horizontal="left"/>
    </xf>
    <xf numFmtId="1" fontId="90" fillId="0" borderId="12" xfId="42" applyNumberFormat="1" applyFont="1" applyBorder="1" applyAlignment="1">
      <alignment horizontal="left"/>
    </xf>
    <xf numFmtId="1" fontId="90" fillId="0" borderId="10" xfId="42" applyNumberFormat="1" applyFont="1" applyBorder="1" applyAlignment="1">
      <alignment horizontal="left"/>
    </xf>
    <xf numFmtId="1" fontId="90" fillId="0" borderId="11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 vertical="center"/>
    </xf>
    <xf numFmtId="1" fontId="89" fillId="0" borderId="0" xfId="0" applyNumberFormat="1" applyFont="1" applyBorder="1" applyAlignment="1">
      <alignment horizontal="left"/>
    </xf>
    <xf numFmtId="1" fontId="91" fillId="0" borderId="12" xfId="0" applyNumberFormat="1" applyFont="1" applyBorder="1" applyAlignment="1">
      <alignment horizontal="left" vertical="center"/>
    </xf>
    <xf numFmtId="1" fontId="91" fillId="0" borderId="10" xfId="0" applyNumberFormat="1" applyFont="1" applyBorder="1" applyAlignment="1">
      <alignment horizontal="left" vertical="center"/>
    </xf>
    <xf numFmtId="1" fontId="91" fillId="0" borderId="14" xfId="0" applyNumberFormat="1" applyFont="1" applyBorder="1" applyAlignment="1">
      <alignment horizontal="left"/>
    </xf>
    <xf numFmtId="1" fontId="91" fillId="0" borderId="12" xfId="0" applyNumberFormat="1" applyFont="1" applyBorder="1" applyAlignment="1">
      <alignment horizontal="left"/>
    </xf>
    <xf numFmtId="1" fontId="91" fillId="0" borderId="10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/>
    </xf>
    <xf numFmtId="1" fontId="89" fillId="0" borderId="14" xfId="0" applyNumberFormat="1" applyFont="1" applyBorder="1" applyAlignment="1">
      <alignment horizontal="left"/>
    </xf>
    <xf numFmtId="1" fontId="89" fillId="0" borderId="12" xfId="0" applyNumberFormat="1" applyFont="1" applyBorder="1" applyAlignment="1">
      <alignment horizontal="left"/>
    </xf>
    <xf numFmtId="1" fontId="89" fillId="0" borderId="10" xfId="0" applyNumberFormat="1" applyFont="1" applyBorder="1" applyAlignment="1">
      <alignment horizontal="left"/>
    </xf>
    <xf numFmtId="1" fontId="92" fillId="0" borderId="41" xfId="0" applyNumberFormat="1" applyFont="1" applyBorder="1" applyAlignment="1">
      <alignment horizontal="left"/>
    </xf>
    <xf numFmtId="1" fontId="91" fillId="0" borderId="31" xfId="0" applyNumberFormat="1" applyFont="1" applyBorder="1" applyAlignment="1">
      <alignment horizontal="left" vertical="center"/>
    </xf>
    <xf numFmtId="1" fontId="90" fillId="0" borderId="29" xfId="44" applyNumberFormat="1" applyFont="1" applyBorder="1" applyAlignment="1">
      <alignment horizontal="left"/>
    </xf>
    <xf numFmtId="1" fontId="90" fillId="0" borderId="29" xfId="0" applyNumberFormat="1" applyFont="1" applyBorder="1" applyAlignment="1">
      <alignment horizontal="left"/>
    </xf>
    <xf numFmtId="1" fontId="90" fillId="0" borderId="28" xfId="0" applyNumberFormat="1" applyFont="1" applyBorder="1" applyAlignment="1">
      <alignment horizontal="left"/>
    </xf>
    <xf numFmtId="1" fontId="90" fillId="0" borderId="29" xfId="0" applyNumberFormat="1" applyFont="1" applyFill="1" applyBorder="1" applyAlignment="1">
      <alignment horizontal="left"/>
    </xf>
    <xf numFmtId="1" fontId="90" fillId="0" borderId="29" xfId="42" applyNumberFormat="1" applyFont="1" applyBorder="1" applyAlignment="1">
      <alignment horizontal="left"/>
    </xf>
    <xf numFmtId="1" fontId="90" fillId="0" borderId="28" xfId="0" applyNumberFormat="1" applyFont="1" applyBorder="1" applyAlignment="1">
      <alignment horizontal="left" vertical="center"/>
    </xf>
    <xf numFmtId="1" fontId="91" fillId="0" borderId="42" xfId="0" applyNumberFormat="1" applyFont="1" applyBorder="1" applyAlignment="1">
      <alignment horizontal="left" vertical="center"/>
    </xf>
    <xf numFmtId="1" fontId="87" fillId="0" borderId="23" xfId="0" applyNumberFormat="1" applyFont="1" applyBorder="1" applyAlignment="1">
      <alignment horizontal="left"/>
    </xf>
    <xf numFmtId="1" fontId="87" fillId="0" borderId="18" xfId="0" applyNumberFormat="1" applyFont="1" applyBorder="1" applyAlignment="1">
      <alignment horizontal="left"/>
    </xf>
    <xf numFmtId="1" fontId="84" fillId="0" borderId="18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89" fillId="0" borderId="0" xfId="0" applyNumberFormat="1" applyFont="1" applyAlignment="1">
      <alignment/>
    </xf>
    <xf numFmtId="1" fontId="87" fillId="0" borderId="38" xfId="0" applyNumberFormat="1" applyFont="1" applyBorder="1" applyAlignment="1">
      <alignment horizontal="left"/>
    </xf>
    <xf numFmtId="1" fontId="87" fillId="0" borderId="16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1" fontId="87" fillId="0" borderId="43" xfId="0" applyNumberFormat="1" applyFont="1" applyBorder="1" applyAlignment="1">
      <alignment horizontal="left"/>
    </xf>
    <xf numFmtId="1" fontId="87" fillId="0" borderId="13" xfId="0" applyNumberFormat="1" applyFont="1" applyBorder="1" applyAlignment="1">
      <alignment horizontal="left"/>
    </xf>
    <xf numFmtId="1" fontId="87" fillId="0" borderId="21" xfId="0" applyNumberFormat="1" applyFont="1" applyBorder="1" applyAlignment="1">
      <alignment horizontal="left"/>
    </xf>
    <xf numFmtId="1" fontId="84" fillId="0" borderId="25" xfId="0" applyNumberFormat="1" applyFont="1" applyBorder="1" applyAlignment="1">
      <alignment horizontal="left" vertical="center"/>
    </xf>
    <xf numFmtId="1" fontId="85" fillId="0" borderId="25" xfId="0" applyNumberFormat="1" applyFont="1" applyBorder="1" applyAlignment="1">
      <alignment horizontal="left" vertical="center"/>
    </xf>
    <xf numFmtId="1" fontId="5" fillId="0" borderId="12" xfId="44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5" fillId="0" borderId="12" xfId="42" applyNumberFormat="1" applyFont="1" applyBorder="1" applyAlignment="1">
      <alignment horizontal="left"/>
    </xf>
    <xf numFmtId="2" fontId="85" fillId="0" borderId="15" xfId="0" applyNumberFormat="1" applyFont="1" applyBorder="1" applyAlignment="1">
      <alignment horizontal="left"/>
    </xf>
    <xf numFmtId="2" fontId="85" fillId="0" borderId="11" xfId="44" applyNumberFormat="1" applyFont="1" applyBorder="1" applyAlignment="1">
      <alignment horizontal="left"/>
    </xf>
    <xf numFmtId="2" fontId="85" fillId="0" borderId="12" xfId="0" applyNumberFormat="1" applyFont="1" applyFill="1" applyBorder="1" applyAlignment="1">
      <alignment horizontal="left"/>
    </xf>
    <xf numFmtId="2" fontId="85" fillId="0" borderId="12" xfId="42" applyNumberFormat="1" applyFont="1" applyBorder="1" applyAlignment="1">
      <alignment horizontal="left"/>
    </xf>
    <xf numFmtId="2" fontId="85" fillId="0" borderId="25" xfId="0" applyNumberFormat="1" applyFont="1" applyBorder="1" applyAlignment="1">
      <alignment horizontal="left" vertical="center"/>
    </xf>
    <xf numFmtId="166" fontId="85" fillId="0" borderId="12" xfId="44" applyNumberFormat="1" applyFont="1" applyBorder="1" applyAlignment="1">
      <alignment horizontal="left"/>
    </xf>
    <xf numFmtId="1" fontId="85" fillId="0" borderId="0" xfId="0" applyNumberFormat="1" applyFont="1" applyFill="1" applyAlignment="1">
      <alignment horizontal="left"/>
    </xf>
    <xf numFmtId="1" fontId="85" fillId="0" borderId="0" xfId="0" applyNumberFormat="1" applyFont="1" applyAlignment="1">
      <alignment/>
    </xf>
    <xf numFmtId="1" fontId="5" fillId="0" borderId="10" xfId="44" applyNumberFormat="1" applyFont="1" applyBorder="1" applyAlignment="1">
      <alignment horizontal="left"/>
    </xf>
    <xf numFmtId="1" fontId="85" fillId="0" borderId="13" xfId="0" applyNumberFormat="1" applyFont="1" applyBorder="1" applyAlignment="1">
      <alignment horizontal="left"/>
    </xf>
    <xf numFmtId="1" fontId="85" fillId="0" borderId="21" xfId="0" applyNumberFormat="1" applyFont="1" applyBorder="1" applyAlignment="1">
      <alignment horizontal="left"/>
    </xf>
    <xf numFmtId="0" fontId="93" fillId="0" borderId="44" xfId="0" applyFont="1" applyBorder="1" applyAlignment="1">
      <alignment horizontal="left" vertical="center"/>
    </xf>
    <xf numFmtId="0" fontId="93" fillId="0" borderId="45" xfId="0" applyFont="1" applyBorder="1" applyAlignment="1">
      <alignment horizontal="left" vertical="center"/>
    </xf>
    <xf numFmtId="1" fontId="92" fillId="0" borderId="45" xfId="0" applyNumberFormat="1" applyFont="1" applyBorder="1" applyAlignment="1">
      <alignment horizontal="left"/>
    </xf>
    <xf numFmtId="1" fontId="92" fillId="0" borderId="10" xfId="0" applyNumberFormat="1" applyFont="1" applyBorder="1" applyAlignment="1">
      <alignment horizontal="left"/>
    </xf>
    <xf numFmtId="1" fontId="95" fillId="0" borderId="21" xfId="0" applyNumberFormat="1" applyFont="1" applyBorder="1" applyAlignment="1">
      <alignment horizontal="left"/>
    </xf>
    <xf numFmtId="0" fontId="95" fillId="0" borderId="46" xfId="0" applyFont="1" applyBorder="1" applyAlignment="1">
      <alignment horizontal="left"/>
    </xf>
    <xf numFmtId="2" fontId="85" fillId="0" borderId="14" xfId="0" applyNumberFormat="1" applyFont="1" applyBorder="1" applyAlignment="1">
      <alignment horizontal="left" vertical="center"/>
    </xf>
    <xf numFmtId="0" fontId="92" fillId="0" borderId="47" xfId="0" applyFont="1" applyBorder="1" applyAlignment="1">
      <alignment horizontal="left"/>
    </xf>
    <xf numFmtId="2" fontId="91" fillId="0" borderId="24" xfId="0" applyNumberFormat="1" applyFont="1" applyBorder="1" applyAlignment="1">
      <alignment horizontal="left"/>
    </xf>
    <xf numFmtId="0" fontId="92" fillId="0" borderId="42" xfId="0" applyFont="1" applyBorder="1" applyAlignment="1">
      <alignment horizontal="left"/>
    </xf>
    <xf numFmtId="2" fontId="90" fillId="0" borderId="31" xfId="0" applyNumberFormat="1" applyFont="1" applyBorder="1" applyAlignment="1">
      <alignment horizontal="left"/>
    </xf>
    <xf numFmtId="2" fontId="90" fillId="0" borderId="29" xfId="0" applyNumberFormat="1" applyFont="1" applyBorder="1" applyAlignment="1">
      <alignment horizontal="left"/>
    </xf>
    <xf numFmtId="2" fontId="90" fillId="0" borderId="32" xfId="0" applyNumberFormat="1" applyFont="1" applyBorder="1" applyAlignment="1">
      <alignment horizontal="left"/>
    </xf>
    <xf numFmtId="2" fontId="90" fillId="0" borderId="28" xfId="0" applyNumberFormat="1" applyFont="1" applyBorder="1" applyAlignment="1">
      <alignment horizontal="left"/>
    </xf>
    <xf numFmtId="2" fontId="90" fillId="0" borderId="28" xfId="0" applyNumberFormat="1" applyFont="1" applyFill="1" applyBorder="1" applyAlignment="1">
      <alignment horizontal="left"/>
    </xf>
    <xf numFmtId="2" fontId="90" fillId="0" borderId="29" xfId="42" applyNumberFormat="1" applyFont="1" applyBorder="1" applyAlignment="1">
      <alignment horizontal="left"/>
    </xf>
    <xf numFmtId="2" fontId="90" fillId="0" borderId="28" xfId="42" applyNumberFormat="1" applyFont="1" applyBorder="1" applyAlignment="1">
      <alignment horizontal="left"/>
    </xf>
    <xf numFmtId="2" fontId="91" fillId="0" borderId="30" xfId="0" applyNumberFormat="1" applyFont="1" applyBorder="1" applyAlignment="1">
      <alignment horizontal="left"/>
    </xf>
    <xf numFmtId="2" fontId="90" fillId="0" borderId="31" xfId="42" applyNumberFormat="1" applyFont="1" applyBorder="1" applyAlignment="1">
      <alignment horizontal="left"/>
    </xf>
    <xf numFmtId="2" fontId="91" fillId="0" borderId="42" xfId="0" applyNumberFormat="1" applyFont="1" applyBorder="1" applyAlignment="1">
      <alignment horizontal="left"/>
    </xf>
    <xf numFmtId="2" fontId="90" fillId="0" borderId="48" xfId="0" applyNumberFormat="1" applyFont="1" applyBorder="1" applyAlignment="1">
      <alignment horizontal="left"/>
    </xf>
    <xf numFmtId="2" fontId="90" fillId="0" borderId="49" xfId="0" applyNumberFormat="1" applyFont="1" applyBorder="1" applyAlignment="1">
      <alignment horizontal="left"/>
    </xf>
    <xf numFmtId="2" fontId="90" fillId="0" borderId="50" xfId="0" applyNumberFormat="1" applyFont="1" applyBorder="1" applyAlignment="1">
      <alignment horizontal="left"/>
    </xf>
    <xf numFmtId="2" fontId="90" fillId="0" borderId="51" xfId="0" applyNumberFormat="1" applyFont="1" applyBorder="1" applyAlignment="1">
      <alignment horizontal="left"/>
    </xf>
    <xf numFmtId="2" fontId="90" fillId="0" borderId="51" xfId="0" applyNumberFormat="1" applyFont="1" applyFill="1" applyBorder="1" applyAlignment="1">
      <alignment horizontal="left"/>
    </xf>
    <xf numFmtId="2" fontId="90" fillId="0" borderId="49" xfId="42" applyNumberFormat="1" applyFont="1" applyBorder="1" applyAlignment="1">
      <alignment horizontal="left"/>
    </xf>
    <xf numFmtId="2" fontId="90" fillId="0" borderId="51" xfId="42" applyNumberFormat="1" applyFont="1" applyBorder="1" applyAlignment="1">
      <alignment horizontal="left"/>
    </xf>
    <xf numFmtId="2" fontId="91" fillId="0" borderId="52" xfId="0" applyNumberFormat="1" applyFont="1" applyBorder="1" applyAlignment="1">
      <alignment horizontal="left"/>
    </xf>
    <xf numFmtId="2" fontId="90" fillId="0" borderId="48" xfId="42" applyNumberFormat="1" applyFont="1" applyBorder="1" applyAlignment="1">
      <alignment horizontal="left"/>
    </xf>
    <xf numFmtId="2" fontId="91" fillId="0" borderId="53" xfId="0" applyNumberFormat="1" applyFont="1" applyBorder="1" applyAlignment="1">
      <alignment horizontal="left"/>
    </xf>
    <xf numFmtId="2" fontId="85" fillId="0" borderId="29" xfId="0" applyNumberFormat="1" applyFont="1" applyBorder="1" applyAlignment="1">
      <alignment horizontal="left" vertical="center"/>
    </xf>
    <xf numFmtId="2" fontId="85" fillId="0" borderId="32" xfId="0" applyNumberFormat="1" applyFont="1" applyBorder="1" applyAlignment="1">
      <alignment horizontal="left" vertical="center"/>
    </xf>
    <xf numFmtId="2" fontId="85" fillId="0" borderId="31" xfId="0" applyNumberFormat="1" applyFont="1" applyBorder="1" applyAlignment="1">
      <alignment horizontal="left"/>
    </xf>
    <xf numFmtId="0" fontId="85" fillId="0" borderId="29" xfId="0" applyFont="1" applyBorder="1" applyAlignment="1">
      <alignment horizontal="left"/>
    </xf>
    <xf numFmtId="0" fontId="85" fillId="0" borderId="28" xfId="0" applyFont="1" applyBorder="1" applyAlignment="1">
      <alignment horizontal="left"/>
    </xf>
    <xf numFmtId="2" fontId="85" fillId="0" borderId="29" xfId="0" applyNumberFormat="1" applyFont="1" applyBorder="1" applyAlignment="1">
      <alignment horizontal="left"/>
    </xf>
    <xf numFmtId="2" fontId="85" fillId="0" borderId="28" xfId="0" applyNumberFormat="1" applyFont="1" applyBorder="1" applyAlignment="1">
      <alignment horizontal="left"/>
    </xf>
    <xf numFmtId="0" fontId="95" fillId="0" borderId="53" xfId="0" applyFont="1" applyBorder="1" applyAlignment="1">
      <alignment horizontal="left"/>
    </xf>
    <xf numFmtId="2" fontId="84" fillId="0" borderId="49" xfId="0" applyNumberFormat="1" applyFont="1" applyBorder="1" applyAlignment="1">
      <alignment horizontal="left" vertical="center"/>
    </xf>
    <xf numFmtId="2" fontId="84" fillId="0" borderId="50" xfId="0" applyNumberFormat="1" applyFont="1" applyBorder="1" applyAlignment="1">
      <alignment horizontal="left" vertical="center"/>
    </xf>
    <xf numFmtId="2" fontId="84" fillId="0" borderId="48" xfId="0" applyNumberFormat="1" applyFont="1" applyBorder="1" applyAlignment="1">
      <alignment horizontal="left"/>
    </xf>
    <xf numFmtId="0" fontId="84" fillId="0" borderId="49" xfId="0" applyFont="1" applyBorder="1" applyAlignment="1">
      <alignment horizontal="left"/>
    </xf>
    <xf numFmtId="0" fontId="84" fillId="0" borderId="51" xfId="0" applyFont="1" applyBorder="1" applyAlignment="1">
      <alignment horizontal="left"/>
    </xf>
    <xf numFmtId="2" fontId="84" fillId="0" borderId="49" xfId="0" applyNumberFormat="1" applyFont="1" applyBorder="1" applyAlignment="1">
      <alignment horizontal="left"/>
    </xf>
    <xf numFmtId="2" fontId="84" fillId="0" borderId="51" xfId="0" applyNumberFormat="1" applyFont="1" applyBorder="1" applyAlignment="1">
      <alignment horizontal="left"/>
    </xf>
    <xf numFmtId="0" fontId="95" fillId="0" borderId="51" xfId="0" applyFont="1" applyBorder="1" applyAlignment="1">
      <alignment horizontal="left"/>
    </xf>
    <xf numFmtId="1" fontId="87" fillId="0" borderId="40" xfId="0" applyNumberFormat="1" applyFont="1" applyBorder="1" applyAlignment="1">
      <alignment horizontal="left"/>
    </xf>
    <xf numFmtId="1" fontId="89" fillId="0" borderId="0" xfId="0" applyNumberFormat="1" applyFont="1" applyFill="1" applyAlignment="1">
      <alignment horizontal="left"/>
    </xf>
    <xf numFmtId="1" fontId="87" fillId="0" borderId="24" xfId="0" applyNumberFormat="1" applyFont="1" applyFill="1" applyBorder="1" applyAlignment="1">
      <alignment horizontal="left" vertical="center" wrapText="1"/>
    </xf>
    <xf numFmtId="1" fontId="87" fillId="0" borderId="24" xfId="0" applyNumberFormat="1" applyFont="1" applyFill="1" applyBorder="1" applyAlignment="1">
      <alignment horizontal="left" vertical="top" wrapText="1"/>
    </xf>
    <xf numFmtId="1" fontId="2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left" vertical="top" wrapText="1"/>
    </xf>
    <xf numFmtId="1" fontId="5" fillId="0" borderId="54" xfId="0" applyNumberFormat="1" applyFont="1" applyFill="1" applyBorder="1" applyAlignment="1">
      <alignment horizontal="left" vertical="top" wrapText="1"/>
    </xf>
    <xf numFmtId="1" fontId="85" fillId="0" borderId="12" xfId="0" applyNumberFormat="1" applyFont="1" applyFill="1" applyBorder="1" applyAlignment="1">
      <alignment horizontal="left" wrapText="1"/>
    </xf>
    <xf numFmtId="1" fontId="85" fillId="0" borderId="12" xfId="0" applyNumberFormat="1" applyFont="1" applyFill="1" applyBorder="1" applyAlignment="1">
      <alignment horizontal="left" vertical="top" shrinkToFit="1"/>
    </xf>
    <xf numFmtId="1" fontId="85" fillId="0" borderId="12" xfId="0" applyNumberFormat="1" applyFont="1" applyFill="1" applyBorder="1" applyAlignment="1">
      <alignment horizontal="left" vertical="top" wrapText="1"/>
    </xf>
    <xf numFmtId="1" fontId="84" fillId="0" borderId="12" xfId="0" applyNumberFormat="1" applyFont="1" applyFill="1" applyBorder="1" applyAlignment="1">
      <alignment horizontal="left" vertical="top" shrinkToFit="1"/>
    </xf>
    <xf numFmtId="1" fontId="85" fillId="0" borderId="10" xfId="0" applyNumberFormat="1" applyFont="1" applyFill="1" applyBorder="1" applyAlignment="1">
      <alignment horizontal="left" wrapText="1"/>
    </xf>
    <xf numFmtId="1" fontId="85" fillId="0" borderId="10" xfId="0" applyNumberFormat="1" applyFont="1" applyFill="1" applyBorder="1" applyAlignment="1">
      <alignment horizontal="left" vertical="top" shrinkToFit="1"/>
    </xf>
    <xf numFmtId="1" fontId="85" fillId="0" borderId="10" xfId="0" applyNumberFormat="1" applyFont="1" applyFill="1" applyBorder="1" applyAlignment="1">
      <alignment horizontal="left" vertical="top" wrapText="1"/>
    </xf>
    <xf numFmtId="1" fontId="84" fillId="0" borderId="10" xfId="0" applyNumberFormat="1" applyFont="1" applyFill="1" applyBorder="1" applyAlignment="1">
      <alignment horizontal="left" vertical="top" shrinkToFit="1"/>
    </xf>
    <xf numFmtId="1" fontId="84" fillId="0" borderId="13" xfId="0" applyNumberFormat="1" applyFont="1" applyFill="1" applyBorder="1" applyAlignment="1">
      <alignment horizontal="left" vertical="top" shrinkToFit="1"/>
    </xf>
    <xf numFmtId="1" fontId="84" fillId="0" borderId="21" xfId="0" applyNumberFormat="1" applyFont="1" applyFill="1" applyBorder="1" applyAlignment="1">
      <alignment horizontal="left" vertical="top" shrinkToFit="1"/>
    </xf>
    <xf numFmtId="1" fontId="5" fillId="0" borderId="10" xfId="0" applyNumberFormat="1" applyFont="1" applyFill="1" applyBorder="1" applyAlignment="1">
      <alignment horizontal="left"/>
    </xf>
    <xf numFmtId="2" fontId="85" fillId="0" borderId="10" xfId="0" applyNumberFormat="1" applyFont="1" applyFill="1" applyBorder="1" applyAlignment="1">
      <alignment horizontal="left"/>
    </xf>
    <xf numFmtId="1" fontId="85" fillId="0" borderId="24" xfId="42" applyNumberFormat="1" applyFont="1" applyBorder="1" applyAlignment="1">
      <alignment horizontal="left"/>
    </xf>
    <xf numFmtId="1" fontId="5" fillId="0" borderId="10" xfId="42" applyNumberFormat="1" applyFont="1" applyBorder="1" applyAlignment="1">
      <alignment horizontal="left"/>
    </xf>
    <xf numFmtId="2" fontId="85" fillId="0" borderId="10" xfId="42" applyNumberFormat="1" applyFont="1" applyBorder="1" applyAlignment="1">
      <alignment horizontal="left"/>
    </xf>
    <xf numFmtId="1" fontId="85" fillId="0" borderId="0" xfId="0" applyNumberFormat="1" applyFont="1" applyBorder="1" applyAlignment="1">
      <alignment horizontal="left"/>
    </xf>
    <xf numFmtId="1" fontId="85" fillId="0" borderId="27" xfId="0" applyNumberFormat="1" applyFont="1" applyBorder="1" applyAlignment="1">
      <alignment horizontal="left"/>
    </xf>
    <xf numFmtId="2" fontId="85" fillId="0" borderId="13" xfId="42" applyNumberFormat="1" applyFont="1" applyBorder="1" applyAlignment="1">
      <alignment horizontal="left"/>
    </xf>
    <xf numFmtId="2" fontId="85" fillId="0" borderId="21" xfId="42" applyNumberFormat="1" applyFont="1" applyBorder="1" applyAlignment="1">
      <alignment horizontal="left"/>
    </xf>
    <xf numFmtId="2" fontId="84" fillId="0" borderId="55" xfId="0" applyNumberFormat="1" applyFont="1" applyBorder="1" applyAlignment="1">
      <alignment horizontal="left"/>
    </xf>
    <xf numFmtId="2" fontId="85" fillId="0" borderId="55" xfId="0" applyNumberFormat="1" applyFont="1" applyBorder="1" applyAlignment="1">
      <alignment horizontal="left"/>
    </xf>
    <xf numFmtId="2" fontId="85" fillId="0" borderId="45" xfId="0" applyNumberFormat="1" applyFont="1" applyBorder="1" applyAlignment="1">
      <alignment horizontal="left"/>
    </xf>
    <xf numFmtId="0" fontId="85" fillId="0" borderId="0" xfId="0" applyFont="1" applyAlignment="1">
      <alignment horizontal="center"/>
    </xf>
    <xf numFmtId="0" fontId="84" fillId="0" borderId="56" xfId="0" applyFont="1" applyBorder="1" applyAlignment="1">
      <alignment horizontal="center" vertical="center"/>
    </xf>
    <xf numFmtId="0" fontId="84" fillId="0" borderId="44" xfId="0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1" fontId="84" fillId="0" borderId="55" xfId="0" applyNumberFormat="1" applyFont="1" applyBorder="1" applyAlignment="1">
      <alignment horizontal="center" vertical="center"/>
    </xf>
    <xf numFmtId="1" fontId="84" fillId="0" borderId="57" xfId="0" applyNumberFormat="1" applyFont="1" applyBorder="1" applyAlignment="1">
      <alignment horizontal="center" vertical="center"/>
    </xf>
    <xf numFmtId="1" fontId="84" fillId="0" borderId="47" xfId="0" applyNumberFormat="1" applyFont="1" applyBorder="1" applyAlignment="1">
      <alignment horizontal="center" vertical="center"/>
    </xf>
    <xf numFmtId="1" fontId="84" fillId="0" borderId="58" xfId="0" applyNumberFormat="1" applyFont="1" applyBorder="1" applyAlignment="1">
      <alignment horizontal="center" vertical="center"/>
    </xf>
    <xf numFmtId="3" fontId="87" fillId="0" borderId="44" xfId="0" applyNumberFormat="1" applyFont="1" applyBorder="1" applyAlignment="1">
      <alignment horizontal="center"/>
    </xf>
    <xf numFmtId="3" fontId="87" fillId="0" borderId="55" xfId="0" applyNumberFormat="1" applyFont="1" applyBorder="1" applyAlignment="1">
      <alignment horizontal="center"/>
    </xf>
    <xf numFmtId="165" fontId="87" fillId="0" borderId="55" xfId="0" applyNumberFormat="1" applyFont="1" applyBorder="1" applyAlignment="1">
      <alignment horizontal="center"/>
    </xf>
    <xf numFmtId="165" fontId="87" fillId="0" borderId="57" xfId="0" applyNumberFormat="1" applyFont="1" applyBorder="1" applyAlignment="1">
      <alignment horizontal="center"/>
    </xf>
    <xf numFmtId="3" fontId="87" fillId="0" borderId="47" xfId="0" applyNumberFormat="1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1" fontId="94" fillId="0" borderId="11" xfId="0" applyNumberFormat="1" applyFont="1" applyBorder="1" applyAlignment="1">
      <alignment horizontal="center" vertical="justify" wrapText="1"/>
    </xf>
    <xf numFmtId="1" fontId="85" fillId="0" borderId="12" xfId="0" applyNumberFormat="1" applyFont="1" applyBorder="1" applyAlignment="1">
      <alignment horizontal="center" vertical="justify" wrapText="1"/>
    </xf>
    <xf numFmtId="2" fontId="85" fillId="0" borderId="26" xfId="0" applyNumberFormat="1" applyFont="1" applyBorder="1" applyAlignment="1">
      <alignment horizontal="center" vertical="center"/>
    </xf>
    <xf numFmtId="2" fontId="85" fillId="0" borderId="11" xfId="0" applyNumberFormat="1" applyFont="1" applyBorder="1" applyAlignment="1">
      <alignment horizontal="center"/>
    </xf>
    <xf numFmtId="1" fontId="85" fillId="0" borderId="12" xfId="0" applyNumberFormat="1" applyFont="1" applyBorder="1" applyAlignment="1">
      <alignment horizontal="center"/>
    </xf>
    <xf numFmtId="1" fontId="85" fillId="0" borderId="15" xfId="0" applyNumberFormat="1" applyFont="1" applyBorder="1" applyAlignment="1">
      <alignment horizontal="center"/>
    </xf>
    <xf numFmtId="1" fontId="85" fillId="0" borderId="24" xfId="0" applyNumberFormat="1" applyFont="1" applyBorder="1" applyAlignment="1">
      <alignment horizontal="center"/>
    </xf>
    <xf numFmtId="2" fontId="85" fillId="0" borderId="26" xfId="0" applyNumberFormat="1" applyFont="1" applyBorder="1" applyAlignment="1">
      <alignment horizontal="center"/>
    </xf>
    <xf numFmtId="1" fontId="85" fillId="0" borderId="11" xfId="0" applyNumberFormat="1" applyFont="1" applyBorder="1" applyAlignment="1">
      <alignment horizontal="center"/>
    </xf>
    <xf numFmtId="2" fontId="85" fillId="0" borderId="14" xfId="0" applyNumberFormat="1" applyFont="1" applyBorder="1" applyAlignment="1">
      <alignment horizontal="center"/>
    </xf>
    <xf numFmtId="2" fontId="85" fillId="0" borderId="24" xfId="0" applyNumberFormat="1" applyFont="1" applyBorder="1" applyAlignment="1">
      <alignment horizontal="center"/>
    </xf>
    <xf numFmtId="1" fontId="85" fillId="0" borderId="14" xfId="0" applyNumberFormat="1" applyFont="1" applyBorder="1" applyAlignment="1">
      <alignment horizontal="center"/>
    </xf>
    <xf numFmtId="2" fontId="85" fillId="0" borderId="12" xfId="0" applyNumberFormat="1" applyFont="1" applyBorder="1" applyAlignment="1">
      <alignment horizontal="center"/>
    </xf>
    <xf numFmtId="2" fontId="85" fillId="0" borderId="15" xfId="0" applyNumberFormat="1" applyFont="1" applyBorder="1" applyAlignment="1">
      <alignment horizontal="center"/>
    </xf>
    <xf numFmtId="1" fontId="84" fillId="0" borderId="37" xfId="0" applyNumberFormat="1" applyFont="1" applyBorder="1" applyAlignment="1">
      <alignment horizontal="center" vertical="center"/>
    </xf>
    <xf numFmtId="1" fontId="85" fillId="0" borderId="12" xfId="44" applyNumberFormat="1" applyFont="1" applyBorder="1" applyAlignment="1">
      <alignment horizontal="center"/>
    </xf>
    <xf numFmtId="1" fontId="85" fillId="0" borderId="10" xfId="44" applyNumberFormat="1" applyFont="1" applyBorder="1" applyAlignment="1">
      <alignment horizontal="center"/>
    </xf>
    <xf numFmtId="2" fontId="85" fillId="0" borderId="24" xfId="44" applyNumberFormat="1" applyFont="1" applyBorder="1" applyAlignment="1">
      <alignment horizontal="center"/>
    </xf>
    <xf numFmtId="1" fontId="85" fillId="0" borderId="14" xfId="0" applyNumberFormat="1" applyFont="1" applyBorder="1" applyAlignment="1">
      <alignment horizontal="center" wrapText="1"/>
    </xf>
    <xf numFmtId="1" fontId="87" fillId="0" borderId="11" xfId="0" applyNumberFormat="1" applyFont="1" applyBorder="1" applyAlignment="1">
      <alignment horizontal="center"/>
    </xf>
    <xf numFmtId="1" fontId="87" fillId="0" borderId="12" xfId="0" applyNumberFormat="1" applyFont="1" applyBorder="1" applyAlignment="1">
      <alignment horizontal="center"/>
    </xf>
    <xf numFmtId="1" fontId="87" fillId="0" borderId="15" xfId="0" applyNumberFormat="1" applyFont="1" applyBorder="1" applyAlignment="1">
      <alignment horizontal="center"/>
    </xf>
    <xf numFmtId="1" fontId="87" fillId="0" borderId="24" xfId="0" applyNumberFormat="1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1" fontId="85" fillId="0" borderId="11" xfId="0" applyNumberFormat="1" applyFont="1" applyFill="1" applyBorder="1" applyAlignment="1">
      <alignment horizontal="center"/>
    </xf>
    <xf numFmtId="1" fontId="85" fillId="0" borderId="12" xfId="0" applyNumberFormat="1" applyFont="1" applyFill="1" applyBorder="1" applyAlignment="1">
      <alignment horizontal="center"/>
    </xf>
    <xf numFmtId="1" fontId="85" fillId="0" borderId="15" xfId="0" applyNumberFormat="1" applyFont="1" applyFill="1" applyBorder="1" applyAlignment="1">
      <alignment horizontal="center"/>
    </xf>
    <xf numFmtId="1" fontId="85" fillId="0" borderId="24" xfId="0" applyNumberFormat="1" applyFont="1" applyFill="1" applyBorder="1" applyAlignment="1">
      <alignment horizontal="center"/>
    </xf>
    <xf numFmtId="2" fontId="85" fillId="0" borderId="26" xfId="0" applyNumberFormat="1" applyFont="1" applyFill="1" applyBorder="1" applyAlignment="1">
      <alignment horizontal="center"/>
    </xf>
    <xf numFmtId="1" fontId="85" fillId="0" borderId="14" xfId="42" applyNumberFormat="1" applyFont="1" applyBorder="1" applyAlignment="1">
      <alignment horizontal="center"/>
    </xf>
    <xf numFmtId="1" fontId="85" fillId="0" borderId="12" xfId="42" applyNumberFormat="1" applyFont="1" applyBorder="1" applyAlignment="1">
      <alignment horizontal="center"/>
    </xf>
    <xf numFmtId="1" fontId="85" fillId="0" borderId="15" xfId="42" applyNumberFormat="1" applyFont="1" applyBorder="1" applyAlignment="1">
      <alignment horizontal="center"/>
    </xf>
    <xf numFmtId="1" fontId="85" fillId="0" borderId="24" xfId="42" applyNumberFormat="1" applyFont="1" applyBorder="1" applyAlignment="1">
      <alignment horizontal="center"/>
    </xf>
    <xf numFmtId="2" fontId="85" fillId="0" borderId="24" xfId="42" applyNumberFormat="1" applyFont="1" applyBorder="1" applyAlignment="1">
      <alignment horizontal="center"/>
    </xf>
    <xf numFmtId="2" fontId="84" fillId="0" borderId="14" xfId="0" applyNumberFormat="1" applyFont="1" applyBorder="1" applyAlignment="1">
      <alignment horizontal="center"/>
    </xf>
    <xf numFmtId="2" fontId="84" fillId="0" borderId="24" xfId="0" applyNumberFormat="1" applyFont="1" applyBorder="1" applyAlignment="1">
      <alignment horizontal="center"/>
    </xf>
    <xf numFmtId="2" fontId="84" fillId="0" borderId="11" xfId="0" applyNumberFormat="1" applyFont="1" applyBorder="1" applyAlignment="1">
      <alignment horizontal="center"/>
    </xf>
    <xf numFmtId="1" fontId="85" fillId="0" borderId="11" xfId="0" applyNumberFormat="1" applyFont="1" applyBorder="1" applyAlignment="1">
      <alignment horizontal="center" vertical="justify" wrapText="1"/>
    </xf>
    <xf numFmtId="1" fontId="94" fillId="0" borderId="11" xfId="0" applyNumberFormat="1" applyFont="1" applyBorder="1" applyAlignment="1">
      <alignment horizontal="center"/>
    </xf>
    <xf numFmtId="1" fontId="84" fillId="0" borderId="12" xfId="0" applyNumberFormat="1" applyFont="1" applyBorder="1" applyAlignment="1">
      <alignment horizontal="center" vertical="justify" wrapText="1"/>
    </xf>
    <xf numFmtId="2" fontId="84" fillId="0" borderId="26" xfId="0" applyNumberFormat="1" applyFont="1" applyBorder="1" applyAlignment="1">
      <alignment horizontal="center" vertical="center"/>
    </xf>
    <xf numFmtId="1" fontId="84" fillId="0" borderId="12" xfId="0" applyNumberFormat="1" applyFont="1" applyBorder="1" applyAlignment="1">
      <alignment horizontal="center"/>
    </xf>
    <xf numFmtId="1" fontId="84" fillId="0" borderId="15" xfId="0" applyNumberFormat="1" applyFont="1" applyBorder="1" applyAlignment="1">
      <alignment horizontal="center"/>
    </xf>
    <xf numFmtId="1" fontId="84" fillId="0" borderId="24" xfId="0" applyNumberFormat="1" applyFont="1" applyBorder="1" applyAlignment="1">
      <alignment horizontal="center"/>
    </xf>
    <xf numFmtId="2" fontId="84" fillId="0" borderId="26" xfId="0" applyNumberFormat="1" applyFont="1" applyBorder="1" applyAlignment="1">
      <alignment horizontal="center"/>
    </xf>
    <xf numFmtId="1" fontId="84" fillId="0" borderId="11" xfId="0" applyNumberFormat="1" applyFont="1" applyBorder="1" applyAlignment="1">
      <alignment horizontal="center"/>
    </xf>
    <xf numFmtId="1" fontId="84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" fontId="85" fillId="0" borderId="10" xfId="0" applyNumberFormat="1" applyFont="1" applyBorder="1" applyAlignment="1">
      <alignment horizontal="center"/>
    </xf>
    <xf numFmtId="1" fontId="85" fillId="0" borderId="43" xfId="0" applyNumberFormat="1" applyFont="1" applyBorder="1" applyAlignment="1">
      <alignment horizontal="center" vertical="justify" wrapText="1"/>
    </xf>
    <xf numFmtId="1" fontId="85" fillId="0" borderId="13" xfId="0" applyNumberFormat="1" applyFont="1" applyBorder="1" applyAlignment="1">
      <alignment horizontal="center" vertical="justify" wrapText="1"/>
    </xf>
    <xf numFmtId="2" fontId="85" fillId="0" borderId="59" xfId="0" applyNumberFormat="1" applyFont="1" applyBorder="1" applyAlignment="1">
      <alignment horizontal="center" vertical="center"/>
    </xf>
    <xf numFmtId="2" fontId="85" fillId="0" borderId="43" xfId="0" applyNumberFormat="1" applyFont="1" applyBorder="1" applyAlignment="1">
      <alignment horizontal="center"/>
    </xf>
    <xf numFmtId="1" fontId="85" fillId="0" borderId="13" xfId="0" applyNumberFormat="1" applyFont="1" applyBorder="1" applyAlignment="1">
      <alignment horizontal="center"/>
    </xf>
    <xf numFmtId="1" fontId="85" fillId="0" borderId="60" xfId="0" applyNumberFormat="1" applyFont="1" applyBorder="1" applyAlignment="1">
      <alignment horizontal="center"/>
    </xf>
    <xf numFmtId="1" fontId="85" fillId="0" borderId="54" xfId="0" applyNumberFormat="1" applyFont="1" applyBorder="1" applyAlignment="1">
      <alignment horizontal="center"/>
    </xf>
    <xf numFmtId="2" fontId="85" fillId="0" borderId="59" xfId="0" applyNumberFormat="1" applyFont="1" applyBorder="1" applyAlignment="1">
      <alignment horizontal="center"/>
    </xf>
    <xf numFmtId="1" fontId="85" fillId="0" borderId="43" xfId="0" applyNumberFormat="1" applyFont="1" applyBorder="1" applyAlignment="1">
      <alignment horizontal="center"/>
    </xf>
    <xf numFmtId="2" fontId="85" fillId="0" borderId="22" xfId="0" applyNumberFormat="1" applyFont="1" applyBorder="1" applyAlignment="1">
      <alignment horizontal="center"/>
    </xf>
    <xf numFmtId="2" fontId="85" fillId="0" borderId="54" xfId="0" applyNumberFormat="1" applyFont="1" applyBorder="1" applyAlignment="1">
      <alignment horizontal="center"/>
    </xf>
    <xf numFmtId="1" fontId="85" fillId="0" borderId="22" xfId="0" applyNumberFormat="1" applyFont="1" applyBorder="1" applyAlignment="1">
      <alignment horizontal="center"/>
    </xf>
    <xf numFmtId="1" fontId="84" fillId="0" borderId="61" xfId="0" applyNumberFormat="1" applyFont="1" applyBorder="1" applyAlignment="1">
      <alignment horizontal="center" vertical="center"/>
    </xf>
    <xf numFmtId="1" fontId="85" fillId="0" borderId="21" xfId="0" applyNumberFormat="1" applyFont="1" applyBorder="1" applyAlignment="1">
      <alignment horizontal="center"/>
    </xf>
    <xf numFmtId="1" fontId="85" fillId="0" borderId="22" xfId="0" applyNumberFormat="1" applyFont="1" applyBorder="1" applyAlignment="1">
      <alignment horizontal="center" wrapText="1"/>
    </xf>
    <xf numFmtId="1" fontId="87" fillId="0" borderId="43" xfId="0" applyNumberFormat="1" applyFont="1" applyBorder="1" applyAlignment="1">
      <alignment horizontal="center"/>
    </xf>
    <xf numFmtId="1" fontId="87" fillId="0" borderId="13" xfId="0" applyNumberFormat="1" applyFont="1" applyBorder="1" applyAlignment="1">
      <alignment horizontal="center"/>
    </xf>
    <xf numFmtId="1" fontId="87" fillId="0" borderId="60" xfId="0" applyNumberFormat="1" applyFont="1" applyBorder="1" applyAlignment="1">
      <alignment horizontal="center"/>
    </xf>
    <xf numFmtId="1" fontId="87" fillId="0" borderId="54" xfId="0" applyNumberFormat="1" applyFont="1" applyBorder="1" applyAlignment="1">
      <alignment horizontal="center"/>
    </xf>
    <xf numFmtId="0" fontId="87" fillId="0" borderId="54" xfId="0" applyFont="1" applyBorder="1" applyAlignment="1">
      <alignment horizontal="center"/>
    </xf>
    <xf numFmtId="1" fontId="85" fillId="0" borderId="43" xfId="0" applyNumberFormat="1" applyFont="1" applyFill="1" applyBorder="1" applyAlignment="1">
      <alignment horizontal="center"/>
    </xf>
    <xf numFmtId="1" fontId="85" fillId="0" borderId="13" xfId="0" applyNumberFormat="1" applyFont="1" applyFill="1" applyBorder="1" applyAlignment="1">
      <alignment horizontal="center"/>
    </xf>
    <xf numFmtId="1" fontId="85" fillId="0" borderId="60" xfId="0" applyNumberFormat="1" applyFont="1" applyFill="1" applyBorder="1" applyAlignment="1">
      <alignment horizontal="center"/>
    </xf>
    <xf numFmtId="1" fontId="85" fillId="0" borderId="54" xfId="0" applyNumberFormat="1" applyFont="1" applyFill="1" applyBorder="1" applyAlignment="1">
      <alignment horizontal="center"/>
    </xf>
    <xf numFmtId="2" fontId="85" fillId="0" borderId="59" xfId="0" applyNumberFormat="1" applyFont="1" applyFill="1" applyBorder="1" applyAlignment="1">
      <alignment horizontal="center"/>
    </xf>
    <xf numFmtId="1" fontId="85" fillId="0" borderId="22" xfId="42" applyNumberFormat="1" applyFont="1" applyBorder="1" applyAlignment="1">
      <alignment horizontal="center"/>
    </xf>
    <xf numFmtId="1" fontId="85" fillId="0" borderId="13" xfId="42" applyNumberFormat="1" applyFont="1" applyBorder="1" applyAlignment="1">
      <alignment horizontal="center"/>
    </xf>
    <xf numFmtId="1" fontId="85" fillId="0" borderId="60" xfId="42" applyNumberFormat="1" applyFont="1" applyBorder="1" applyAlignment="1">
      <alignment horizontal="center"/>
    </xf>
    <xf numFmtId="1" fontId="85" fillId="0" borderId="54" xfId="42" applyNumberFormat="1" applyFont="1" applyBorder="1" applyAlignment="1">
      <alignment horizontal="center"/>
    </xf>
    <xf numFmtId="2" fontId="85" fillId="0" borderId="54" xfId="42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left"/>
    </xf>
    <xf numFmtId="2" fontId="87" fillId="0" borderId="10" xfId="0" applyNumberFormat="1" applyFont="1" applyBorder="1" applyAlignment="1">
      <alignment horizontal="left"/>
    </xf>
    <xf numFmtId="2" fontId="85" fillId="0" borderId="11" xfId="0" applyNumberFormat="1" applyFont="1" applyFill="1" applyBorder="1" applyAlignment="1">
      <alignment horizontal="left"/>
    </xf>
    <xf numFmtId="2" fontId="85" fillId="0" borderId="11" xfId="42" applyNumberFormat="1" applyFont="1" applyBorder="1" applyAlignment="1">
      <alignment horizontal="left"/>
    </xf>
    <xf numFmtId="10" fontId="85" fillId="0" borderId="11" xfId="0" applyNumberFormat="1" applyFont="1" applyBorder="1" applyAlignment="1">
      <alignment horizontal="left"/>
    </xf>
    <xf numFmtId="10" fontId="85" fillId="0" borderId="12" xfId="0" applyNumberFormat="1" applyFont="1" applyBorder="1" applyAlignment="1">
      <alignment horizontal="left"/>
    </xf>
    <xf numFmtId="10" fontId="84" fillId="0" borderId="10" xfId="0" applyNumberFormat="1" applyFont="1" applyBorder="1" applyAlignment="1">
      <alignment horizontal="left" vertical="center"/>
    </xf>
    <xf numFmtId="10" fontId="85" fillId="0" borderId="11" xfId="44" applyNumberFormat="1" applyFont="1" applyBorder="1" applyAlignment="1">
      <alignment horizontal="left"/>
    </xf>
    <xf numFmtId="10" fontId="85" fillId="0" borderId="12" xfId="44" applyNumberFormat="1" applyFont="1" applyBorder="1" applyAlignment="1">
      <alignment horizontal="left"/>
    </xf>
    <xf numFmtId="10" fontId="85" fillId="0" borderId="10" xfId="44" applyNumberFormat="1" applyFont="1" applyBorder="1" applyAlignment="1">
      <alignment horizontal="left"/>
    </xf>
    <xf numFmtId="10" fontId="85" fillId="0" borderId="10" xfId="0" applyNumberFormat="1" applyFont="1" applyBorder="1" applyAlignment="1">
      <alignment horizontal="left"/>
    </xf>
    <xf numFmtId="2" fontId="85" fillId="0" borderId="13" xfId="0" applyNumberFormat="1" applyFont="1" applyBorder="1" applyAlignment="1">
      <alignment horizontal="left" vertical="center"/>
    </xf>
    <xf numFmtId="2" fontId="85" fillId="0" borderId="43" xfId="0" applyNumberFormat="1" applyFont="1" applyBorder="1" applyAlignment="1">
      <alignment horizontal="left"/>
    </xf>
    <xf numFmtId="2" fontId="85" fillId="0" borderId="21" xfId="0" applyNumberFormat="1" applyFont="1" applyBorder="1" applyAlignment="1">
      <alignment horizontal="left"/>
    </xf>
    <xf numFmtId="2" fontId="85" fillId="0" borderId="60" xfId="0" applyNumberFormat="1" applyFont="1" applyBorder="1" applyAlignment="1">
      <alignment horizontal="left"/>
    </xf>
    <xf numFmtId="2" fontId="85" fillId="0" borderId="22" xfId="0" applyNumberFormat="1" applyFont="1" applyBorder="1" applyAlignment="1">
      <alignment horizontal="left"/>
    </xf>
    <xf numFmtId="3" fontId="87" fillId="0" borderId="22" xfId="0" applyNumberFormat="1" applyFont="1" applyBorder="1" applyAlignment="1">
      <alignment horizontal="left"/>
    </xf>
    <xf numFmtId="3" fontId="87" fillId="0" borderId="13" xfId="0" applyNumberFormat="1" applyFont="1" applyBorder="1" applyAlignment="1">
      <alignment horizontal="left"/>
    </xf>
    <xf numFmtId="3" fontId="87" fillId="0" borderId="21" xfId="0" applyNumberFormat="1" applyFont="1" applyBorder="1" applyAlignment="1">
      <alignment horizontal="left"/>
    </xf>
    <xf numFmtId="2" fontId="85" fillId="0" borderId="43" xfId="0" applyNumberFormat="1" applyFont="1" applyFill="1" applyBorder="1" applyAlignment="1">
      <alignment horizontal="left"/>
    </xf>
    <xf numFmtId="2" fontId="85" fillId="0" borderId="13" xfId="0" applyNumberFormat="1" applyFont="1" applyFill="1" applyBorder="1" applyAlignment="1">
      <alignment horizontal="left"/>
    </xf>
    <xf numFmtId="2" fontId="85" fillId="0" borderId="21" xfId="0" applyNumberFormat="1" applyFont="1" applyFill="1" applyBorder="1" applyAlignment="1">
      <alignment horizontal="left"/>
    </xf>
    <xf numFmtId="2" fontId="85" fillId="0" borderId="43" xfId="42" applyNumberFormat="1" applyFont="1" applyBorder="1" applyAlignment="1">
      <alignment horizontal="left"/>
    </xf>
    <xf numFmtId="2" fontId="84" fillId="0" borderId="38" xfId="0" applyNumberFormat="1" applyFont="1" applyBorder="1" applyAlignment="1">
      <alignment horizontal="left" vertical="center"/>
    </xf>
    <xf numFmtId="2" fontId="84" fillId="0" borderId="16" xfId="0" applyNumberFormat="1" applyFont="1" applyBorder="1" applyAlignment="1">
      <alignment horizontal="left" vertical="center"/>
    </xf>
    <xf numFmtId="2" fontId="84" fillId="0" borderId="18" xfId="0" applyNumberFormat="1" applyFont="1" applyBorder="1" applyAlignment="1">
      <alignment horizontal="left" vertical="center"/>
    </xf>
    <xf numFmtId="0" fontId="84" fillId="0" borderId="38" xfId="0" applyFont="1" applyBorder="1" applyAlignment="1">
      <alignment horizontal="left" vertical="center"/>
    </xf>
    <xf numFmtId="0" fontId="84" fillId="0" borderId="16" xfId="0" applyFont="1" applyBorder="1" applyAlignment="1">
      <alignment horizontal="left" vertical="center"/>
    </xf>
    <xf numFmtId="0" fontId="84" fillId="0" borderId="18" xfId="0" applyFont="1" applyBorder="1" applyAlignment="1">
      <alignment horizontal="left" vertical="center"/>
    </xf>
    <xf numFmtId="2" fontId="84" fillId="0" borderId="14" xfId="0" applyNumberFormat="1" applyFont="1" applyBorder="1" applyAlignment="1">
      <alignment horizontal="left" wrapText="1"/>
    </xf>
    <xf numFmtId="2" fontId="94" fillId="0" borderId="14" xfId="0" applyNumberFormat="1" applyFont="1" applyBorder="1" applyAlignment="1">
      <alignment horizontal="left"/>
    </xf>
    <xf numFmtId="2" fontId="94" fillId="0" borderId="12" xfId="0" applyNumberFormat="1" applyFont="1" applyBorder="1" applyAlignment="1">
      <alignment horizontal="left"/>
    </xf>
    <xf numFmtId="2" fontId="84" fillId="0" borderId="14" xfId="42" applyNumberFormat="1" applyFont="1" applyBorder="1" applyAlignment="1">
      <alignment horizontal="left"/>
    </xf>
    <xf numFmtId="0" fontId="84" fillId="0" borderId="39" xfId="0" applyFont="1" applyBorder="1" applyAlignment="1">
      <alignment horizontal="left" vertical="center"/>
    </xf>
    <xf numFmtId="0" fontId="84" fillId="0" borderId="19" xfId="0" applyFont="1" applyBorder="1" applyAlignment="1">
      <alignment horizontal="left" vertical="center"/>
    </xf>
    <xf numFmtId="2" fontId="87" fillId="0" borderId="19" xfId="0" applyNumberFormat="1" applyFont="1" applyBorder="1" applyAlignment="1">
      <alignment horizontal="left"/>
    </xf>
    <xf numFmtId="2" fontId="87" fillId="0" borderId="16" xfId="0" applyNumberFormat="1" applyFont="1" applyBorder="1" applyAlignment="1">
      <alignment horizontal="left"/>
    </xf>
    <xf numFmtId="2" fontId="87" fillId="0" borderId="18" xfId="0" applyNumberFormat="1" applyFont="1" applyBorder="1" applyAlignment="1">
      <alignment horizontal="left"/>
    </xf>
    <xf numFmtId="2" fontId="84" fillId="0" borderId="55" xfId="0" applyNumberFormat="1" applyFont="1" applyBorder="1" applyAlignment="1">
      <alignment horizontal="left" vertical="center"/>
    </xf>
    <xf numFmtId="2" fontId="84" fillId="0" borderId="57" xfId="0" applyNumberFormat="1" applyFont="1" applyBorder="1" applyAlignment="1">
      <alignment horizontal="left" vertical="center"/>
    </xf>
    <xf numFmtId="2" fontId="85" fillId="0" borderId="60" xfId="0" applyNumberFormat="1" applyFont="1" applyBorder="1" applyAlignment="1">
      <alignment horizontal="left" vertical="center"/>
    </xf>
    <xf numFmtId="0" fontId="84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84" fillId="0" borderId="0" xfId="0" applyFont="1" applyAlignment="1">
      <alignment horizontal="center"/>
    </xf>
    <xf numFmtId="2" fontId="84" fillId="0" borderId="56" xfId="0" applyNumberFormat="1" applyFont="1" applyBorder="1" applyAlignment="1">
      <alignment horizontal="center" vertical="center"/>
    </xf>
    <xf numFmtId="1" fontId="84" fillId="0" borderId="44" xfId="0" applyNumberFormat="1" applyFont="1" applyBorder="1" applyAlignment="1">
      <alignment horizontal="center" vertical="center"/>
    </xf>
    <xf numFmtId="2" fontId="84" fillId="0" borderId="58" xfId="0" applyNumberFormat="1" applyFont="1" applyBorder="1" applyAlignment="1">
      <alignment horizontal="left" vertical="center"/>
    </xf>
    <xf numFmtId="2" fontId="85" fillId="0" borderId="22" xfId="0" applyNumberFormat="1" applyFont="1" applyBorder="1" applyAlignment="1">
      <alignment horizontal="left" vertical="center"/>
    </xf>
    <xf numFmtId="0" fontId="94" fillId="0" borderId="47" xfId="0" applyFont="1" applyBorder="1" applyAlignment="1">
      <alignment horizontal="left"/>
    </xf>
    <xf numFmtId="0" fontId="94" fillId="0" borderId="24" xfId="0" applyFont="1" applyBorder="1" applyAlignment="1">
      <alignment horizontal="left"/>
    </xf>
    <xf numFmtId="0" fontId="94" fillId="0" borderId="54" xfId="0" applyFont="1" applyBorder="1" applyAlignment="1">
      <alignment horizontal="left"/>
    </xf>
    <xf numFmtId="0" fontId="84" fillId="0" borderId="62" xfId="0" applyFont="1" applyBorder="1" applyAlignment="1">
      <alignment horizontal="center" vertical="center"/>
    </xf>
    <xf numFmtId="2" fontId="85" fillId="0" borderId="25" xfId="0" applyNumberFormat="1" applyFont="1" applyBorder="1" applyAlignment="1">
      <alignment horizontal="center"/>
    </xf>
    <xf numFmtId="2" fontId="84" fillId="0" borderId="25" xfId="0" applyNumberFormat="1" applyFont="1" applyBorder="1" applyAlignment="1">
      <alignment horizontal="center"/>
    </xf>
    <xf numFmtId="2" fontId="85" fillId="0" borderId="63" xfId="0" applyNumberFormat="1" applyFont="1" applyBorder="1" applyAlignment="1">
      <alignment horizontal="center"/>
    </xf>
    <xf numFmtId="1" fontId="85" fillId="0" borderId="14" xfId="44" applyNumberFormat="1" applyFont="1" applyBorder="1" applyAlignment="1">
      <alignment horizontal="center"/>
    </xf>
    <xf numFmtId="1" fontId="85" fillId="0" borderId="11" xfId="42" applyNumberFormat="1" applyFont="1" applyBorder="1" applyAlignment="1">
      <alignment horizontal="center"/>
    </xf>
    <xf numFmtId="1" fontId="85" fillId="0" borderId="43" xfId="42" applyNumberFormat="1" applyFont="1" applyBorder="1" applyAlignment="1">
      <alignment horizontal="center"/>
    </xf>
    <xf numFmtId="0" fontId="98" fillId="0" borderId="40" xfId="0" applyFont="1" applyBorder="1" applyAlignment="1">
      <alignment horizontal="left"/>
    </xf>
    <xf numFmtId="0" fontId="99" fillId="0" borderId="40" xfId="0" applyFont="1" applyBorder="1" applyAlignment="1">
      <alignment horizontal="left"/>
    </xf>
    <xf numFmtId="0" fontId="98" fillId="0" borderId="64" xfId="0" applyFont="1" applyBorder="1" applyAlignment="1">
      <alignment horizontal="left"/>
    </xf>
    <xf numFmtId="0" fontId="98" fillId="0" borderId="65" xfId="0" applyFont="1" applyBorder="1" applyAlignment="1">
      <alignment horizontal="left"/>
    </xf>
    <xf numFmtId="1" fontId="84" fillId="0" borderId="24" xfId="0" applyNumberFormat="1" applyFont="1" applyBorder="1" applyAlignment="1">
      <alignment horizontal="left" vertical="center"/>
    </xf>
    <xf numFmtId="1" fontId="84" fillId="0" borderId="26" xfId="0" applyNumberFormat="1" applyFont="1" applyBorder="1" applyAlignment="1">
      <alignment horizontal="left" vertical="center"/>
    </xf>
    <xf numFmtId="1" fontId="85" fillId="0" borderId="26" xfId="0" applyNumberFormat="1" applyFont="1" applyBorder="1" applyAlignment="1">
      <alignment horizontal="left" vertical="center"/>
    </xf>
    <xf numFmtId="1" fontId="85" fillId="0" borderId="17" xfId="0" applyNumberFormat="1" applyFont="1" applyBorder="1" applyAlignment="1">
      <alignment horizontal="left"/>
    </xf>
    <xf numFmtId="2" fontId="85" fillId="0" borderId="26" xfId="0" applyNumberFormat="1" applyFont="1" applyBorder="1" applyAlignment="1">
      <alignment horizontal="left" vertical="center"/>
    </xf>
    <xf numFmtId="1" fontId="84" fillId="0" borderId="63" xfId="0" applyNumberFormat="1" applyFont="1" applyBorder="1" applyAlignment="1">
      <alignment horizontal="left" vertical="center"/>
    </xf>
    <xf numFmtId="1" fontId="84" fillId="0" borderId="59" xfId="0" applyNumberFormat="1" applyFont="1" applyBorder="1" applyAlignment="1">
      <alignment horizontal="left" vertical="center"/>
    </xf>
    <xf numFmtId="1" fontId="85" fillId="0" borderId="26" xfId="0" applyNumberFormat="1" applyFont="1" applyBorder="1" applyAlignment="1">
      <alignment horizontal="left"/>
    </xf>
    <xf numFmtId="166" fontId="85" fillId="0" borderId="10" xfId="44" applyNumberFormat="1" applyFont="1" applyBorder="1" applyAlignment="1">
      <alignment horizontal="left"/>
    </xf>
    <xf numFmtId="1" fontId="85" fillId="0" borderId="13" xfId="44" applyNumberFormat="1" applyFont="1" applyBorder="1" applyAlignment="1">
      <alignment horizontal="left"/>
    </xf>
    <xf numFmtId="1" fontId="85" fillId="0" borderId="21" xfId="44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2" fontId="87" fillId="0" borderId="47" xfId="0" applyNumberFormat="1" applyFont="1" applyFill="1" applyBorder="1" applyAlignment="1">
      <alignment horizontal="left" vertical="center" wrapText="1"/>
    </xf>
    <xf numFmtId="2" fontId="85" fillId="0" borderId="66" xfId="0" applyNumberFormat="1" applyFont="1" applyBorder="1" applyAlignment="1">
      <alignment horizontal="left"/>
    </xf>
    <xf numFmtId="2" fontId="85" fillId="0" borderId="67" xfId="0" applyNumberFormat="1" applyFont="1" applyBorder="1" applyAlignment="1">
      <alignment horizontal="left"/>
    </xf>
    <xf numFmtId="2" fontId="85" fillId="0" borderId="58" xfId="0" applyNumberFormat="1" applyFont="1" applyBorder="1" applyAlignment="1">
      <alignment horizontal="left"/>
    </xf>
    <xf numFmtId="2" fontId="85" fillId="0" borderId="55" xfId="44" applyNumberFormat="1" applyFont="1" applyBorder="1" applyAlignment="1">
      <alignment horizontal="left"/>
    </xf>
    <xf numFmtId="2" fontId="85" fillId="0" borderId="45" xfId="44" applyNumberFormat="1" applyFont="1" applyBorder="1" applyAlignment="1">
      <alignment horizontal="left"/>
    </xf>
    <xf numFmtId="2" fontId="85" fillId="0" borderId="55" xfId="0" applyNumberFormat="1" applyFont="1" applyFill="1" applyBorder="1" applyAlignment="1">
      <alignment horizontal="left" vertical="center" wrapText="1"/>
    </xf>
    <xf numFmtId="2" fontId="85" fillId="0" borderId="45" xfId="0" applyNumberFormat="1" applyFont="1" applyFill="1" applyBorder="1" applyAlignment="1">
      <alignment horizontal="left" vertical="center" wrapText="1"/>
    </xf>
    <xf numFmtId="2" fontId="85" fillId="0" borderId="55" xfId="0" applyNumberFormat="1" applyFont="1" applyFill="1" applyBorder="1" applyAlignment="1">
      <alignment horizontal="left"/>
    </xf>
    <xf numFmtId="2" fontId="85" fillId="0" borderId="45" xfId="0" applyNumberFormat="1" applyFont="1" applyFill="1" applyBorder="1" applyAlignment="1">
      <alignment horizontal="left"/>
    </xf>
    <xf numFmtId="2" fontId="85" fillId="0" borderId="55" xfId="42" applyNumberFormat="1" applyFont="1" applyBorder="1" applyAlignment="1">
      <alignment horizontal="left"/>
    </xf>
    <xf numFmtId="2" fontId="85" fillId="0" borderId="45" xfId="42" applyNumberFormat="1" applyFont="1" applyBorder="1" applyAlignment="1">
      <alignment horizontal="left"/>
    </xf>
    <xf numFmtId="2" fontId="84" fillId="0" borderId="45" xfId="0" applyNumberFormat="1" applyFont="1" applyBorder="1" applyAlignment="1">
      <alignment horizontal="left"/>
    </xf>
    <xf numFmtId="2" fontId="85" fillId="0" borderId="44" xfId="0" applyNumberFormat="1" applyFont="1" applyBorder="1" applyAlignment="1">
      <alignment horizontal="left"/>
    </xf>
    <xf numFmtId="2" fontId="86" fillId="0" borderId="15" xfId="0" applyNumberFormat="1" applyFont="1" applyBorder="1" applyAlignment="1">
      <alignment horizontal="left"/>
    </xf>
    <xf numFmtId="0" fontId="87" fillId="0" borderId="23" xfId="0" applyFont="1" applyBorder="1" applyAlignment="1">
      <alignment horizontal="left"/>
    </xf>
    <xf numFmtId="1" fontId="85" fillId="0" borderId="26" xfId="42" applyNumberFormat="1" applyFont="1" applyBorder="1" applyAlignment="1">
      <alignment horizontal="left"/>
    </xf>
    <xf numFmtId="165" fontId="87" fillId="0" borderId="12" xfId="0" applyNumberFormat="1" applyFont="1" applyBorder="1" applyAlignment="1">
      <alignment horizontal="left"/>
    </xf>
    <xf numFmtId="3" fontId="87" fillId="0" borderId="55" xfId="0" applyNumberFormat="1" applyFont="1" applyBorder="1" applyAlignment="1">
      <alignment horizontal="left"/>
    </xf>
    <xf numFmtId="3" fontId="87" fillId="0" borderId="45" xfId="0" applyNumberFormat="1" applyFont="1" applyBorder="1" applyAlignment="1">
      <alignment horizontal="left"/>
    </xf>
    <xf numFmtId="165" fontId="87" fillId="0" borderId="10" xfId="0" applyNumberFormat="1" applyFont="1" applyBorder="1" applyAlignment="1">
      <alignment horizontal="left"/>
    </xf>
    <xf numFmtId="1" fontId="85" fillId="0" borderId="39" xfId="0" applyNumberFormat="1" applyFont="1" applyBorder="1" applyAlignment="1">
      <alignment horizontal="left"/>
    </xf>
    <xf numFmtId="1" fontId="94" fillId="0" borderId="23" xfId="0" applyNumberFormat="1" applyFont="1" applyBorder="1" applyAlignment="1">
      <alignment horizontal="left"/>
    </xf>
    <xf numFmtId="1" fontId="84" fillId="0" borderId="56" xfId="0" applyNumberFormat="1" applyFont="1" applyFill="1" applyBorder="1" applyAlignment="1">
      <alignment vertical="center" wrapText="1"/>
    </xf>
    <xf numFmtId="0" fontId="84" fillId="0" borderId="67" xfId="0" applyFont="1" applyBorder="1" applyAlignment="1">
      <alignment vertical="center" wrapText="1"/>
    </xf>
    <xf numFmtId="1" fontId="84" fillId="0" borderId="47" xfId="0" applyNumberFormat="1" applyFont="1" applyBorder="1" applyAlignment="1">
      <alignment vertical="center" wrapText="1"/>
    </xf>
    <xf numFmtId="1" fontId="85" fillId="0" borderId="37" xfId="0" applyNumberFormat="1" applyFont="1" applyBorder="1" applyAlignment="1">
      <alignment horizontal="left"/>
    </xf>
    <xf numFmtId="1" fontId="85" fillId="0" borderId="24" xfId="0" applyNumberFormat="1" applyFont="1" applyBorder="1" applyAlignment="1">
      <alignment horizontal="left"/>
    </xf>
    <xf numFmtId="1" fontId="84" fillId="0" borderId="24" xfId="0" applyNumberFormat="1" applyFont="1" applyBorder="1" applyAlignment="1">
      <alignment horizontal="left"/>
    </xf>
    <xf numFmtId="1" fontId="85" fillId="0" borderId="42" xfId="0" applyNumberFormat="1" applyFont="1" applyBorder="1" applyAlignment="1">
      <alignment horizontal="left"/>
    </xf>
    <xf numFmtId="1" fontId="84" fillId="0" borderId="26" xfId="0" applyNumberFormat="1" applyFont="1" applyBorder="1" applyAlignment="1">
      <alignment horizontal="left"/>
    </xf>
    <xf numFmtId="1" fontId="84" fillId="0" borderId="33" xfId="0" applyNumberFormat="1" applyFont="1" applyBorder="1" applyAlignment="1">
      <alignment horizontal="left"/>
    </xf>
    <xf numFmtId="1" fontId="85" fillId="0" borderId="20" xfId="42" applyNumberFormat="1" applyFont="1" applyBorder="1" applyAlignment="1">
      <alignment horizontal="left"/>
    </xf>
    <xf numFmtId="1" fontId="85" fillId="0" borderId="33" xfId="42" applyNumberFormat="1" applyFont="1" applyBorder="1" applyAlignment="1">
      <alignment horizontal="left"/>
    </xf>
    <xf numFmtId="1" fontId="85" fillId="0" borderId="37" xfId="42" applyNumberFormat="1" applyFont="1" applyBorder="1" applyAlignment="1">
      <alignment horizontal="left"/>
    </xf>
    <xf numFmtId="1" fontId="85" fillId="0" borderId="42" xfId="42" applyNumberFormat="1" applyFont="1" applyBorder="1" applyAlignment="1">
      <alignment horizontal="left"/>
    </xf>
    <xf numFmtId="1" fontId="84" fillId="0" borderId="68" xfId="0" applyNumberFormat="1" applyFont="1" applyBorder="1" applyAlignment="1">
      <alignment vertical="center" wrapText="1"/>
    </xf>
    <xf numFmtId="1" fontId="85" fillId="0" borderId="65" xfId="0" applyNumberFormat="1" applyFont="1" applyFill="1" applyBorder="1" applyAlignment="1">
      <alignment horizontal="left"/>
    </xf>
    <xf numFmtId="1" fontId="85" fillId="0" borderId="40" xfId="0" applyNumberFormat="1" applyFont="1" applyFill="1" applyBorder="1" applyAlignment="1">
      <alignment horizontal="left"/>
    </xf>
    <xf numFmtId="1" fontId="85" fillId="0" borderId="40" xfId="0" applyNumberFormat="1" applyFont="1" applyBorder="1" applyAlignment="1">
      <alignment horizontal="left"/>
    </xf>
    <xf numFmtId="1" fontId="85" fillId="0" borderId="41" xfId="0" applyNumberFormat="1" applyFont="1" applyFill="1" applyBorder="1" applyAlignment="1">
      <alignment horizontal="left"/>
    </xf>
    <xf numFmtId="1" fontId="87" fillId="0" borderId="17" xfId="0" applyNumberFormat="1" applyFont="1" applyBorder="1" applyAlignment="1">
      <alignment horizontal="left"/>
    </xf>
    <xf numFmtId="1" fontId="84" fillId="0" borderId="68" xfId="0" applyNumberFormat="1" applyFont="1" applyFill="1" applyBorder="1" applyAlignment="1">
      <alignment vertical="center" wrapText="1"/>
    </xf>
    <xf numFmtId="1" fontId="85" fillId="0" borderId="65" xfId="0" applyNumberFormat="1" applyFont="1" applyBorder="1" applyAlignment="1">
      <alignment horizontal="left" wrapText="1"/>
    </xf>
    <xf numFmtId="1" fontId="85" fillId="0" borderId="40" xfId="0" applyNumberFormat="1" applyFont="1" applyBorder="1" applyAlignment="1">
      <alignment horizontal="left" wrapText="1"/>
    </xf>
    <xf numFmtId="1" fontId="85" fillId="0" borderId="41" xfId="0" applyNumberFormat="1" applyFont="1" applyBorder="1" applyAlignment="1">
      <alignment horizontal="left" wrapText="1"/>
    </xf>
    <xf numFmtId="1" fontId="85" fillId="0" borderId="65" xfId="0" applyNumberFormat="1" applyFont="1" applyBorder="1" applyAlignment="1">
      <alignment horizontal="left"/>
    </xf>
    <xf numFmtId="1" fontId="84" fillId="0" borderId="40" xfId="0" applyNumberFormat="1" applyFont="1" applyBorder="1" applyAlignment="1">
      <alignment horizontal="left"/>
    </xf>
    <xf numFmtId="1" fontId="85" fillId="0" borderId="41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85" fillId="0" borderId="65" xfId="44" applyNumberFormat="1" applyFont="1" applyBorder="1" applyAlignment="1">
      <alignment horizontal="left"/>
    </xf>
    <xf numFmtId="1" fontId="85" fillId="0" borderId="40" xfId="44" applyNumberFormat="1" applyFont="1" applyBorder="1" applyAlignment="1">
      <alignment horizontal="left"/>
    </xf>
    <xf numFmtId="1" fontId="85" fillId="0" borderId="41" xfId="44" applyNumberFormat="1" applyFont="1" applyBorder="1" applyAlignment="1">
      <alignment horizontal="left"/>
    </xf>
    <xf numFmtId="1" fontId="84" fillId="0" borderId="68" xfId="0" applyNumberFormat="1" applyFont="1" applyBorder="1" applyAlignment="1">
      <alignment vertical="justify" wrapText="1"/>
    </xf>
    <xf numFmtId="1" fontId="85" fillId="0" borderId="65" xfId="0" applyNumberFormat="1" applyFont="1" applyBorder="1" applyAlignment="1">
      <alignment horizontal="left" vertical="center"/>
    </xf>
    <xf numFmtId="1" fontId="85" fillId="0" borderId="40" xfId="0" applyNumberFormat="1" applyFont="1" applyBorder="1" applyAlignment="1">
      <alignment horizontal="left" vertical="center"/>
    </xf>
    <xf numFmtId="1" fontId="84" fillId="0" borderId="40" xfId="0" applyNumberFormat="1" applyFont="1" applyBorder="1" applyAlignment="1">
      <alignment horizontal="left" vertical="center"/>
    </xf>
    <xf numFmtId="1" fontId="85" fillId="0" borderId="41" xfId="0" applyNumberFormat="1" applyFont="1" applyBorder="1" applyAlignment="1">
      <alignment horizontal="left" vertical="center"/>
    </xf>
    <xf numFmtId="0" fontId="84" fillId="0" borderId="53" xfId="0" applyFont="1" applyFill="1" applyBorder="1" applyAlignment="1">
      <alignment vertical="center" wrapText="1"/>
    </xf>
    <xf numFmtId="1" fontId="84" fillId="0" borderId="37" xfId="0" applyNumberFormat="1" applyFont="1" applyBorder="1" applyAlignment="1">
      <alignment horizontal="left"/>
    </xf>
    <xf numFmtId="1" fontId="84" fillId="0" borderId="42" xfId="0" applyNumberFormat="1" applyFont="1" applyBorder="1" applyAlignment="1">
      <alignment horizontal="left"/>
    </xf>
    <xf numFmtId="2" fontId="84" fillId="0" borderId="69" xfId="0" applyNumberFormat="1" applyFont="1" applyBorder="1" applyAlignment="1">
      <alignment horizontal="left" vertical="center"/>
    </xf>
    <xf numFmtId="2" fontId="84" fillId="0" borderId="70" xfId="0" applyNumberFormat="1" applyFont="1" applyBorder="1" applyAlignment="1">
      <alignment horizontal="left" vertical="center"/>
    </xf>
    <xf numFmtId="2" fontId="84" fillId="0" borderId="71" xfId="0" applyNumberFormat="1" applyFont="1" applyBorder="1" applyAlignment="1">
      <alignment horizontal="left" vertical="center"/>
    </xf>
    <xf numFmtId="2" fontId="84" fillId="0" borderId="45" xfId="0" applyNumberFormat="1" applyFont="1" applyBorder="1" applyAlignment="1">
      <alignment horizontal="left" vertical="center"/>
    </xf>
    <xf numFmtId="0" fontId="84" fillId="0" borderId="21" xfId="0" applyFont="1" applyBorder="1" applyAlignment="1">
      <alignment horizontal="left" vertical="center"/>
    </xf>
    <xf numFmtId="1" fontId="90" fillId="0" borderId="32" xfId="42" applyNumberFormat="1" applyFont="1" applyBorder="1" applyAlignment="1">
      <alignment horizontal="left"/>
    </xf>
    <xf numFmtId="1" fontId="90" fillId="0" borderId="15" xfId="44" applyNumberFormat="1" applyFont="1" applyBorder="1" applyAlignment="1">
      <alignment horizontal="left"/>
    </xf>
    <xf numFmtId="1" fontId="90" fillId="0" borderId="15" xfId="0" applyNumberFormat="1" applyFont="1" applyBorder="1" applyAlignment="1">
      <alignment horizontal="left"/>
    </xf>
    <xf numFmtId="1" fontId="90" fillId="0" borderId="32" xfId="44" applyNumberFormat="1" applyFont="1" applyBorder="1" applyAlignment="1">
      <alignment horizontal="left"/>
    </xf>
    <xf numFmtId="1" fontId="91" fillId="0" borderId="15" xfId="0" applyNumberFormat="1" applyFont="1" applyBorder="1" applyAlignment="1">
      <alignment horizontal="left"/>
    </xf>
    <xf numFmtId="1" fontId="90" fillId="0" borderId="32" xfId="0" applyNumberFormat="1" applyFont="1" applyBorder="1" applyAlignment="1">
      <alignment horizontal="left"/>
    </xf>
    <xf numFmtId="1" fontId="90" fillId="0" borderId="11" xfId="44" applyNumberFormat="1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1" fontId="84" fillId="0" borderId="56" xfId="0" applyNumberFormat="1" applyFont="1" applyBorder="1" applyAlignment="1">
      <alignment horizontal="center" vertical="justify" wrapText="1"/>
    </xf>
    <xf numFmtId="1" fontId="84" fillId="0" borderId="26" xfId="0" applyNumberFormat="1" applyFont="1" applyBorder="1" applyAlignment="1">
      <alignment horizontal="center" vertical="justify" wrapText="1"/>
    </xf>
    <xf numFmtId="1" fontId="84" fillId="0" borderId="59" xfId="0" applyNumberFormat="1" applyFont="1" applyBorder="1" applyAlignment="1">
      <alignment horizontal="center" vertical="justify" wrapText="1"/>
    </xf>
    <xf numFmtId="1" fontId="85" fillId="0" borderId="12" xfId="0" applyNumberFormat="1" applyFont="1" applyFill="1" applyBorder="1" applyAlignment="1">
      <alignment horizontal="center" vertical="justify" wrapText="1"/>
    </xf>
    <xf numFmtId="1" fontId="85" fillId="0" borderId="10" xfId="0" applyNumberFormat="1" applyFont="1" applyBorder="1" applyAlignment="1">
      <alignment horizontal="center" vertical="justify" wrapText="1"/>
    </xf>
    <xf numFmtId="1" fontId="84" fillId="0" borderId="10" xfId="0" applyNumberFormat="1" applyFont="1" applyBorder="1" applyAlignment="1">
      <alignment horizontal="center" vertical="justify" wrapText="1"/>
    </xf>
    <xf numFmtId="1" fontId="85" fillId="0" borderId="21" xfId="0" applyNumberFormat="1" applyFont="1" applyBorder="1" applyAlignment="1">
      <alignment horizontal="center" vertical="justify" wrapText="1"/>
    </xf>
    <xf numFmtId="1" fontId="90" fillId="0" borderId="16" xfId="0" applyNumberFormat="1" applyFont="1" applyBorder="1" applyAlignment="1">
      <alignment horizontal="left" vertical="center"/>
    </xf>
    <xf numFmtId="1" fontId="90" fillId="0" borderId="18" xfId="0" applyNumberFormat="1" applyFont="1" applyBorder="1" applyAlignment="1">
      <alignment horizontal="left" vertical="center"/>
    </xf>
    <xf numFmtId="1" fontId="90" fillId="0" borderId="13" xfId="0" applyNumberFormat="1" applyFont="1" applyBorder="1" applyAlignment="1">
      <alignment horizontal="left" vertical="center"/>
    </xf>
    <xf numFmtId="1" fontId="90" fillId="0" borderId="21" xfId="0" applyNumberFormat="1" applyFont="1" applyBorder="1" applyAlignment="1">
      <alignment horizontal="left" vertical="center"/>
    </xf>
    <xf numFmtId="2" fontId="85" fillId="0" borderId="16" xfId="0" applyNumberFormat="1" applyFont="1" applyBorder="1" applyAlignment="1">
      <alignment horizontal="left" vertical="center"/>
    </xf>
    <xf numFmtId="2" fontId="85" fillId="0" borderId="39" xfId="0" applyNumberFormat="1" applyFont="1" applyBorder="1" applyAlignment="1">
      <alignment horizontal="left" vertical="center"/>
    </xf>
    <xf numFmtId="2" fontId="90" fillId="0" borderId="38" xfId="0" applyNumberFormat="1" applyFont="1" applyBorder="1" applyAlignment="1">
      <alignment horizontal="left"/>
    </xf>
    <xf numFmtId="2" fontId="90" fillId="0" borderId="16" xfId="0" applyNumberFormat="1" applyFont="1" applyBorder="1" applyAlignment="1">
      <alignment horizontal="left"/>
    </xf>
    <xf numFmtId="2" fontId="90" fillId="0" borderId="39" xfId="0" applyNumberFormat="1" applyFont="1" applyBorder="1" applyAlignment="1">
      <alignment horizontal="left"/>
    </xf>
    <xf numFmtId="2" fontId="90" fillId="0" borderId="18" xfId="0" applyNumberFormat="1" applyFont="1" applyBorder="1" applyAlignment="1">
      <alignment horizontal="left"/>
    </xf>
    <xf numFmtId="0" fontId="85" fillId="0" borderId="16" xfId="0" applyFont="1" applyBorder="1" applyAlignment="1">
      <alignment horizontal="left"/>
    </xf>
    <xf numFmtId="0" fontId="85" fillId="0" borderId="18" xfId="0" applyFont="1" applyBorder="1" applyAlignment="1">
      <alignment horizontal="left"/>
    </xf>
    <xf numFmtId="2" fontId="85" fillId="0" borderId="18" xfId="44" applyNumberFormat="1" applyFont="1" applyBorder="1" applyAlignment="1">
      <alignment horizontal="left"/>
    </xf>
    <xf numFmtId="2" fontId="90" fillId="0" borderId="18" xfId="0" applyNumberFormat="1" applyFont="1" applyFill="1" applyBorder="1" applyAlignment="1">
      <alignment horizontal="left"/>
    </xf>
    <xf numFmtId="2" fontId="90" fillId="0" borderId="16" xfId="42" applyNumberFormat="1" applyFont="1" applyBorder="1" applyAlignment="1">
      <alignment horizontal="left"/>
    </xf>
    <xf numFmtId="2" fontId="90" fillId="0" borderId="18" xfId="42" applyNumberFormat="1" applyFont="1" applyBorder="1" applyAlignment="1">
      <alignment horizontal="left"/>
    </xf>
    <xf numFmtId="2" fontId="91" fillId="0" borderId="19" xfId="0" applyNumberFormat="1" applyFont="1" applyBorder="1" applyAlignment="1">
      <alignment horizontal="left"/>
    </xf>
    <xf numFmtId="2" fontId="90" fillId="0" borderId="38" xfId="42" applyNumberFormat="1" applyFont="1" applyBorder="1" applyAlignment="1">
      <alignment horizontal="left"/>
    </xf>
    <xf numFmtId="2" fontId="91" fillId="0" borderId="37" xfId="0" applyNumberFormat="1" applyFont="1" applyBorder="1" applyAlignment="1">
      <alignment horizontal="left"/>
    </xf>
    <xf numFmtId="0" fontId="95" fillId="0" borderId="48" xfId="0" applyFont="1" applyBorder="1" applyAlignment="1">
      <alignment horizontal="left"/>
    </xf>
    <xf numFmtId="0" fontId="95" fillId="0" borderId="72" xfId="0" applyFont="1" applyBorder="1" applyAlignment="1">
      <alignment horizontal="left"/>
    </xf>
    <xf numFmtId="0" fontId="95" fillId="0" borderId="70" xfId="0" applyFont="1" applyBorder="1" applyAlignment="1">
      <alignment horizontal="left"/>
    </xf>
    <xf numFmtId="0" fontId="95" fillId="0" borderId="71" xfId="0" applyFont="1" applyBorder="1" applyAlignment="1">
      <alignment horizontal="left"/>
    </xf>
    <xf numFmtId="1" fontId="93" fillId="0" borderId="72" xfId="0" applyNumberFormat="1" applyFont="1" applyBorder="1" applyAlignment="1">
      <alignment horizontal="left"/>
    </xf>
    <xf numFmtId="1" fontId="93" fillId="0" borderId="27" xfId="0" applyNumberFormat="1" applyFont="1" applyBorder="1" applyAlignment="1">
      <alignment horizontal="left"/>
    </xf>
    <xf numFmtId="1" fontId="95" fillId="0" borderId="28" xfId="42" applyNumberFormat="1" applyFont="1" applyBorder="1" applyAlignment="1">
      <alignment horizontal="left"/>
    </xf>
    <xf numFmtId="0" fontId="96" fillId="0" borderId="47" xfId="0" applyFont="1" applyBorder="1" applyAlignment="1">
      <alignment horizontal="left"/>
    </xf>
    <xf numFmtId="0" fontId="100" fillId="0" borderId="25" xfId="0" applyFont="1" applyBorder="1" applyAlignment="1">
      <alignment horizontal="left"/>
    </xf>
    <xf numFmtId="1" fontId="93" fillId="0" borderId="67" xfId="0" applyNumberFormat="1" applyFont="1" applyFill="1" applyBorder="1" applyAlignment="1">
      <alignment horizontal="left" vertical="center" wrapText="1"/>
    </xf>
    <xf numFmtId="0" fontId="93" fillId="0" borderId="53" xfId="0" applyFont="1" applyFill="1" applyBorder="1" applyAlignment="1">
      <alignment horizontal="left" vertical="center" wrapText="1"/>
    </xf>
    <xf numFmtId="0" fontId="95" fillId="0" borderId="26" xfId="0" applyFont="1" applyBorder="1" applyAlignment="1">
      <alignment horizontal="left"/>
    </xf>
    <xf numFmtId="0" fontId="95" fillId="0" borderId="25" xfId="0" applyFont="1" applyBorder="1" applyAlignment="1">
      <alignment horizontal="left"/>
    </xf>
    <xf numFmtId="0" fontId="95" fillId="0" borderId="40" xfId="0" applyFont="1" applyBorder="1" applyAlignment="1">
      <alignment horizontal="left"/>
    </xf>
    <xf numFmtId="0" fontId="95" fillId="0" borderId="24" xfId="0" applyFont="1" applyBorder="1" applyAlignment="1">
      <alignment horizontal="left"/>
    </xf>
    <xf numFmtId="3" fontId="92" fillId="0" borderId="25" xfId="0" applyNumberFormat="1" applyFont="1" applyBorder="1" applyAlignment="1">
      <alignment horizontal="left"/>
    </xf>
    <xf numFmtId="3" fontId="92" fillId="0" borderId="40" xfId="0" applyNumberFormat="1" applyFont="1" applyBorder="1" applyAlignment="1">
      <alignment horizontal="left"/>
    </xf>
    <xf numFmtId="165" fontId="92" fillId="0" borderId="25" xfId="0" applyNumberFormat="1" applyFont="1" applyBorder="1" applyAlignment="1">
      <alignment horizontal="left"/>
    </xf>
    <xf numFmtId="0" fontId="92" fillId="0" borderId="40" xfId="0" applyFont="1" applyBorder="1" applyAlignment="1">
      <alignment horizontal="left"/>
    </xf>
    <xf numFmtId="0" fontId="92" fillId="0" borderId="25" xfId="0" applyFont="1" applyBorder="1" applyAlignment="1">
      <alignment horizontal="left"/>
    </xf>
    <xf numFmtId="3" fontId="96" fillId="0" borderId="25" xfId="0" applyNumberFormat="1" applyFont="1" applyBorder="1" applyAlignment="1">
      <alignment horizontal="left"/>
    </xf>
    <xf numFmtId="0" fontId="93" fillId="0" borderId="40" xfId="0" applyFont="1" applyBorder="1" applyAlignment="1">
      <alignment horizontal="left"/>
    </xf>
    <xf numFmtId="0" fontId="93" fillId="0" borderId="24" xfId="0" applyFont="1" applyBorder="1" applyAlignment="1">
      <alignment horizontal="left"/>
    </xf>
    <xf numFmtId="0" fontId="101" fillId="0" borderId="40" xfId="0" applyFont="1" applyBorder="1" applyAlignment="1">
      <alignment horizontal="left"/>
    </xf>
    <xf numFmtId="165" fontId="92" fillId="0" borderId="40" xfId="0" applyNumberFormat="1" applyFont="1" applyBorder="1" applyAlignment="1">
      <alignment horizontal="left"/>
    </xf>
    <xf numFmtId="3" fontId="100" fillId="0" borderId="63" xfId="0" applyNumberFormat="1" applyFont="1" applyBorder="1" applyAlignment="1">
      <alignment horizontal="left"/>
    </xf>
    <xf numFmtId="0" fontId="95" fillId="0" borderId="64" xfId="0" applyFont="1" applyBorder="1" applyAlignment="1">
      <alignment horizontal="left"/>
    </xf>
    <xf numFmtId="0" fontId="95" fillId="0" borderId="54" xfId="0" applyFont="1" applyBorder="1" applyAlignment="1">
      <alignment horizontal="left"/>
    </xf>
    <xf numFmtId="3" fontId="92" fillId="0" borderId="73" xfId="0" applyNumberFormat="1" applyFont="1" applyBorder="1" applyAlignment="1">
      <alignment horizontal="left"/>
    </xf>
    <xf numFmtId="0" fontId="95" fillId="0" borderId="65" xfId="0" applyFont="1" applyBorder="1" applyAlignment="1">
      <alignment horizontal="left"/>
    </xf>
    <xf numFmtId="0" fontId="95" fillId="0" borderId="37" xfId="0" applyFont="1" applyBorder="1" applyAlignment="1">
      <alignment horizontal="left"/>
    </xf>
    <xf numFmtId="0" fontId="95" fillId="0" borderId="20" xfId="0" applyFont="1" applyBorder="1" applyAlignment="1">
      <alignment horizontal="left"/>
    </xf>
    <xf numFmtId="1" fontId="92" fillId="0" borderId="39" xfId="0" applyNumberFormat="1" applyFont="1" applyBorder="1" applyAlignment="1">
      <alignment horizontal="left"/>
    </xf>
    <xf numFmtId="0" fontId="92" fillId="0" borderId="37" xfId="0" applyFont="1" applyBorder="1" applyAlignment="1">
      <alignment horizontal="left"/>
    </xf>
    <xf numFmtId="0" fontId="93" fillId="0" borderId="73" xfId="0" applyFont="1" applyBorder="1" applyAlignment="1">
      <alignment horizontal="left" vertical="center"/>
    </xf>
    <xf numFmtId="0" fontId="93" fillId="0" borderId="20" xfId="0" applyFont="1" applyBorder="1" applyAlignment="1">
      <alignment horizontal="left" vertical="center"/>
    </xf>
    <xf numFmtId="0" fontId="95" fillId="0" borderId="16" xfId="0" applyFont="1" applyBorder="1" applyAlignment="1">
      <alignment horizontal="left"/>
    </xf>
    <xf numFmtId="0" fontId="95" fillId="0" borderId="18" xfId="0" applyFont="1" applyBorder="1" applyAlignment="1">
      <alignment horizontal="left"/>
    </xf>
    <xf numFmtId="2" fontId="95" fillId="0" borderId="24" xfId="0" applyNumberFormat="1" applyFont="1" applyBorder="1" applyAlignment="1">
      <alignment horizontal="left"/>
    </xf>
    <xf numFmtId="0" fontId="95" fillId="0" borderId="14" xfId="0" applyFont="1" applyBorder="1" applyAlignment="1">
      <alignment horizontal="left"/>
    </xf>
    <xf numFmtId="1" fontId="84" fillId="0" borderId="24" xfId="0" applyNumberFormat="1" applyFont="1" applyBorder="1" applyAlignment="1">
      <alignment horizontal="left" vertical="center"/>
    </xf>
    <xf numFmtId="10" fontId="85" fillId="0" borderId="15" xfId="0" applyNumberFormat="1" applyFont="1" applyBorder="1" applyAlignment="1">
      <alignment horizontal="left"/>
    </xf>
    <xf numFmtId="10" fontId="84" fillId="0" borderId="12" xfId="0" applyNumberFormat="1" applyFont="1" applyBorder="1" applyAlignment="1">
      <alignment horizontal="left"/>
    </xf>
    <xf numFmtId="1" fontId="85" fillId="0" borderId="15" xfId="0" applyNumberFormat="1" applyFont="1" applyFill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91" fillId="0" borderId="12" xfId="0" applyNumberFormat="1" applyFont="1" applyFill="1" applyBorder="1" applyAlignment="1">
      <alignment horizontal="left"/>
    </xf>
    <xf numFmtId="0" fontId="102" fillId="0" borderId="23" xfId="0" applyFont="1" applyBorder="1" applyAlignment="1">
      <alignment horizontal="left"/>
    </xf>
    <xf numFmtId="0" fontId="103" fillId="0" borderId="0" xfId="0" applyFont="1" applyAlignment="1">
      <alignment horizontal="left"/>
    </xf>
    <xf numFmtId="0" fontId="102" fillId="0" borderId="61" xfId="0" applyFont="1" applyBorder="1" applyAlignment="1">
      <alignment horizontal="left"/>
    </xf>
    <xf numFmtId="0" fontId="104" fillId="0" borderId="13" xfId="0" applyFont="1" applyBorder="1" applyAlignment="1">
      <alignment horizontal="left"/>
    </xf>
    <xf numFmtId="0" fontId="104" fillId="0" borderId="21" xfId="0" applyFont="1" applyBorder="1" applyAlignment="1">
      <alignment horizontal="left"/>
    </xf>
    <xf numFmtId="0" fontId="104" fillId="0" borderId="0" xfId="0" applyFont="1" applyAlignment="1">
      <alignment horizontal="left"/>
    </xf>
    <xf numFmtId="2" fontId="102" fillId="0" borderId="14" xfId="0" applyNumberFormat="1" applyFont="1" applyBorder="1" applyAlignment="1">
      <alignment horizontal="left" vertical="center"/>
    </xf>
    <xf numFmtId="2" fontId="102" fillId="0" borderId="26" xfId="0" applyNumberFormat="1" applyFont="1" applyBorder="1" applyAlignment="1">
      <alignment horizontal="left" vertical="center"/>
    </xf>
    <xf numFmtId="2" fontId="102" fillId="0" borderId="25" xfId="0" applyNumberFormat="1" applyFont="1" applyBorder="1" applyAlignment="1">
      <alignment horizontal="left" vertical="center"/>
    </xf>
    <xf numFmtId="2" fontId="102" fillId="0" borderId="12" xfId="0" applyNumberFormat="1" applyFont="1" applyBorder="1" applyAlignment="1">
      <alignment horizontal="left" vertical="center"/>
    </xf>
    <xf numFmtId="2" fontId="102" fillId="0" borderId="15" xfId="0" applyNumberFormat="1" applyFont="1" applyBorder="1" applyAlignment="1">
      <alignment horizontal="left" vertical="center"/>
    </xf>
    <xf numFmtId="2" fontId="102" fillId="0" borderId="10" xfId="0" applyNumberFormat="1" applyFont="1" applyBorder="1" applyAlignment="1">
      <alignment horizontal="left" vertical="center"/>
    </xf>
    <xf numFmtId="2" fontId="102" fillId="0" borderId="38" xfId="0" applyNumberFormat="1" applyFont="1" applyBorder="1" applyAlignment="1">
      <alignment horizontal="left" vertical="center"/>
    </xf>
    <xf numFmtId="2" fontId="102" fillId="0" borderId="11" xfId="42" applyNumberFormat="1" applyFont="1" applyBorder="1" applyAlignment="1">
      <alignment horizontal="left"/>
    </xf>
    <xf numFmtId="0" fontId="102" fillId="0" borderId="0" xfId="0" applyFont="1" applyAlignment="1">
      <alignment horizontal="left"/>
    </xf>
    <xf numFmtId="2" fontId="102" fillId="0" borderId="22" xfId="0" applyNumberFormat="1" applyFont="1" applyBorder="1" applyAlignment="1">
      <alignment horizontal="left" vertical="center"/>
    </xf>
    <xf numFmtId="2" fontId="102" fillId="0" borderId="59" xfId="0" applyNumberFormat="1" applyFont="1" applyBorder="1" applyAlignment="1">
      <alignment horizontal="left" vertical="center"/>
    </xf>
    <xf numFmtId="2" fontId="102" fillId="0" borderId="63" xfId="0" applyNumberFormat="1" applyFont="1" applyBorder="1" applyAlignment="1">
      <alignment horizontal="left" vertical="center"/>
    </xf>
    <xf numFmtId="2" fontId="102" fillId="0" borderId="13" xfId="0" applyNumberFormat="1" applyFont="1" applyBorder="1" applyAlignment="1">
      <alignment horizontal="left" vertical="center"/>
    </xf>
    <xf numFmtId="2" fontId="102" fillId="0" borderId="60" xfId="0" applyNumberFormat="1" applyFont="1" applyBorder="1" applyAlignment="1">
      <alignment horizontal="left" vertical="center"/>
    </xf>
    <xf numFmtId="2" fontId="102" fillId="0" borderId="21" xfId="0" applyNumberFormat="1" applyFont="1" applyBorder="1" applyAlignment="1">
      <alignment horizontal="left" vertical="center"/>
    </xf>
    <xf numFmtId="2" fontId="102" fillId="0" borderId="43" xfId="42" applyNumberFormat="1" applyFont="1" applyBorder="1" applyAlignment="1">
      <alignment horizontal="left"/>
    </xf>
    <xf numFmtId="0" fontId="104" fillId="0" borderId="74" xfId="0" applyFont="1" applyBorder="1" applyAlignment="1">
      <alignment horizontal="left"/>
    </xf>
    <xf numFmtId="0" fontId="104" fillId="0" borderId="75" xfId="0" applyFont="1" applyBorder="1" applyAlignment="1">
      <alignment horizontal="left"/>
    </xf>
    <xf numFmtId="0" fontId="104" fillId="0" borderId="76" xfId="0" applyFont="1" applyBorder="1" applyAlignment="1">
      <alignment horizontal="left"/>
    </xf>
    <xf numFmtId="0" fontId="105" fillId="0" borderId="0" xfId="0" applyFont="1" applyAlignment="1">
      <alignment horizontal="left"/>
    </xf>
    <xf numFmtId="0" fontId="104" fillId="0" borderId="53" xfId="0" applyFont="1" applyBorder="1" applyAlignment="1">
      <alignment horizontal="left"/>
    </xf>
    <xf numFmtId="2" fontId="102" fillId="0" borderId="52" xfId="0" applyNumberFormat="1" applyFont="1" applyBorder="1" applyAlignment="1">
      <alignment horizontal="left" vertical="center"/>
    </xf>
    <xf numFmtId="2" fontId="102" fillId="0" borderId="66" xfId="0" applyNumberFormat="1" applyFont="1" applyBorder="1" applyAlignment="1">
      <alignment horizontal="left" vertical="center"/>
    </xf>
    <xf numFmtId="2" fontId="102" fillId="0" borderId="48" xfId="0" applyNumberFormat="1" applyFont="1" applyBorder="1" applyAlignment="1">
      <alignment horizontal="left" vertical="center"/>
    </xf>
    <xf numFmtId="2" fontId="102" fillId="0" borderId="67" xfId="0" applyNumberFormat="1" applyFont="1" applyBorder="1" applyAlignment="1">
      <alignment horizontal="left" vertical="center"/>
    </xf>
    <xf numFmtId="2" fontId="106" fillId="0" borderId="52" xfId="0" applyNumberFormat="1" applyFont="1" applyBorder="1" applyAlignment="1">
      <alignment horizontal="left"/>
    </xf>
    <xf numFmtId="2" fontId="106" fillId="0" borderId="48" xfId="42" applyNumberFormat="1" applyFont="1" applyBorder="1" applyAlignment="1">
      <alignment horizontal="left"/>
    </xf>
    <xf numFmtId="2" fontId="106" fillId="0" borderId="53" xfId="0" applyNumberFormat="1" applyFont="1" applyBorder="1" applyAlignment="1">
      <alignment horizontal="left"/>
    </xf>
    <xf numFmtId="0" fontId="107" fillId="0" borderId="0" xfId="0" applyFont="1" applyAlignment="1">
      <alignment horizontal="left"/>
    </xf>
    <xf numFmtId="0" fontId="104" fillId="0" borderId="77" xfId="0" applyFont="1" applyBorder="1" applyAlignment="1">
      <alignment horizontal="left"/>
    </xf>
    <xf numFmtId="2" fontId="102" fillId="0" borderId="78" xfId="0" applyNumberFormat="1" applyFont="1" applyBorder="1" applyAlignment="1">
      <alignment horizontal="left" vertical="center"/>
    </xf>
    <xf numFmtId="2" fontId="102" fillId="0" borderId="75" xfId="0" applyNumberFormat="1" applyFont="1" applyBorder="1" applyAlignment="1">
      <alignment horizontal="left" vertical="center"/>
    </xf>
    <xf numFmtId="2" fontId="102" fillId="0" borderId="79" xfId="0" applyNumberFormat="1" applyFont="1" applyBorder="1" applyAlignment="1">
      <alignment horizontal="left" vertical="center"/>
    </xf>
    <xf numFmtId="2" fontId="102" fillId="0" borderId="76" xfId="0" applyNumberFormat="1" applyFont="1" applyBorder="1" applyAlignment="1">
      <alignment horizontal="left" vertical="center"/>
    </xf>
    <xf numFmtId="2" fontId="106" fillId="0" borderId="78" xfId="0" applyNumberFormat="1" applyFont="1" applyBorder="1" applyAlignment="1">
      <alignment horizontal="left"/>
    </xf>
    <xf numFmtId="2" fontId="106" fillId="0" borderId="79" xfId="0" applyNumberFormat="1" applyFont="1" applyBorder="1" applyAlignment="1">
      <alignment horizontal="left"/>
    </xf>
    <xf numFmtId="2" fontId="106" fillId="0" borderId="77" xfId="0" applyNumberFormat="1" applyFont="1" applyBorder="1" applyAlignment="1">
      <alignment horizontal="left"/>
    </xf>
    <xf numFmtId="0" fontId="95" fillId="0" borderId="0" xfId="0" applyFont="1" applyAlignment="1">
      <alignment/>
    </xf>
    <xf numFmtId="0" fontId="95" fillId="0" borderId="14" xfId="0" applyFont="1" applyBorder="1" applyAlignment="1">
      <alignment/>
    </xf>
    <xf numFmtId="0" fontId="108" fillId="0" borderId="24" xfId="0" applyFont="1" applyBorder="1" applyAlignment="1">
      <alignment horizontal="left"/>
    </xf>
    <xf numFmtId="0" fontId="85" fillId="0" borderId="0" xfId="0" applyFont="1" applyAlignment="1">
      <alignment/>
    </xf>
    <xf numFmtId="0" fontId="94" fillId="0" borderId="0" xfId="0" applyFont="1" applyAlignment="1">
      <alignment horizontal="left"/>
    </xf>
    <xf numFmtId="0" fontId="87" fillId="0" borderId="24" xfId="0" applyFont="1" applyBorder="1" applyAlignment="1">
      <alignment horizontal="left"/>
    </xf>
    <xf numFmtId="0" fontId="89" fillId="0" borderId="56" xfId="0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59" xfId="0" applyFont="1" applyBorder="1" applyAlignment="1">
      <alignment/>
    </xf>
    <xf numFmtId="0" fontId="86" fillId="0" borderId="26" xfId="0" applyFont="1" applyBorder="1" applyAlignment="1">
      <alignment horizontal="left"/>
    </xf>
    <xf numFmtId="0" fontId="95" fillId="0" borderId="0" xfId="0" applyFont="1" applyFill="1" applyAlignment="1">
      <alignment/>
    </xf>
    <xf numFmtId="0" fontId="89" fillId="0" borderId="10" xfId="0" applyFont="1" applyBorder="1" applyAlignment="1">
      <alignment/>
    </xf>
    <xf numFmtId="0" fontId="87" fillId="0" borderId="47" xfId="0" applyFont="1" applyBorder="1" applyAlignment="1">
      <alignment horizontal="left"/>
    </xf>
    <xf numFmtId="0" fontId="89" fillId="0" borderId="62" xfId="0" applyFont="1" applyBorder="1" applyAlignment="1">
      <alignment/>
    </xf>
    <xf numFmtId="0" fontId="89" fillId="0" borderId="25" xfId="0" applyFont="1" applyBorder="1" applyAlignment="1">
      <alignment/>
    </xf>
    <xf numFmtId="0" fontId="89" fillId="0" borderId="47" xfId="0" applyFont="1" applyBorder="1" applyAlignment="1">
      <alignment/>
    </xf>
    <xf numFmtId="0" fontId="89" fillId="0" borderId="24" xfId="0" applyFont="1" applyBorder="1" applyAlignment="1">
      <alignment/>
    </xf>
    <xf numFmtId="0" fontId="89" fillId="0" borderId="14" xfId="0" applyFont="1" applyBorder="1" applyAlignment="1">
      <alignment/>
    </xf>
    <xf numFmtId="0" fontId="89" fillId="0" borderId="54" xfId="0" applyFont="1" applyBorder="1" applyAlignment="1">
      <alignment/>
    </xf>
    <xf numFmtId="0" fontId="90" fillId="0" borderId="0" xfId="0" applyFont="1" applyAlignment="1">
      <alignment/>
    </xf>
    <xf numFmtId="0" fontId="109" fillId="0" borderId="0" xfId="0" applyFont="1" applyAlignment="1">
      <alignment horizontal="left"/>
    </xf>
    <xf numFmtId="2" fontId="90" fillId="0" borderId="24" xfId="0" applyNumberFormat="1" applyFont="1" applyBorder="1" applyAlignment="1">
      <alignment vertical="center"/>
    </xf>
    <xf numFmtId="2" fontId="91" fillId="0" borderId="24" xfId="0" applyNumberFormat="1" applyFont="1" applyBorder="1" applyAlignment="1">
      <alignment vertical="center"/>
    </xf>
    <xf numFmtId="2" fontId="90" fillId="0" borderId="26" xfId="0" applyNumberFormat="1" applyFont="1" applyBorder="1" applyAlignment="1">
      <alignment horizontal="right"/>
    </xf>
    <xf numFmtId="2" fontId="91" fillId="0" borderId="26" xfId="0" applyNumberFormat="1" applyFont="1" applyBorder="1" applyAlignment="1">
      <alignment horizontal="right"/>
    </xf>
    <xf numFmtId="0" fontId="96" fillId="0" borderId="40" xfId="0" applyFont="1" applyBorder="1" applyAlignment="1">
      <alignment horizontal="left"/>
    </xf>
    <xf numFmtId="0" fontId="96" fillId="0" borderId="65" xfId="0" applyFont="1" applyBorder="1" applyAlignment="1">
      <alignment horizontal="left"/>
    </xf>
    <xf numFmtId="0" fontId="91" fillId="0" borderId="37" xfId="0" applyFont="1" applyBorder="1" applyAlignment="1">
      <alignment vertical="center"/>
    </xf>
    <xf numFmtId="0" fontId="91" fillId="0" borderId="20" xfId="0" applyFont="1" applyBorder="1" applyAlignment="1">
      <alignment horizontal="center" vertical="center"/>
    </xf>
    <xf numFmtId="0" fontId="89" fillId="0" borderId="65" xfId="0" applyFont="1" applyBorder="1" applyAlignment="1">
      <alignment/>
    </xf>
    <xf numFmtId="2" fontId="89" fillId="0" borderId="0" xfId="0" applyNumberFormat="1" applyFont="1" applyAlignment="1">
      <alignment/>
    </xf>
    <xf numFmtId="0" fontId="89" fillId="0" borderId="40" xfId="0" applyFont="1" applyBorder="1" applyAlignment="1">
      <alignment/>
    </xf>
    <xf numFmtId="0" fontId="91" fillId="0" borderId="37" xfId="0" applyFont="1" applyBorder="1" applyAlignment="1">
      <alignment horizontal="center" vertical="center"/>
    </xf>
    <xf numFmtId="2" fontId="90" fillId="0" borderId="24" xfId="0" applyNumberFormat="1" applyFont="1" applyBorder="1" applyAlignment="1">
      <alignment horizontal="right"/>
    </xf>
    <xf numFmtId="2" fontId="91" fillId="0" borderId="24" xfId="0" applyNumberFormat="1" applyFont="1" applyBorder="1" applyAlignment="1">
      <alignment horizontal="right"/>
    </xf>
    <xf numFmtId="0" fontId="84" fillId="0" borderId="20" xfId="0" applyFont="1" applyBorder="1" applyAlignment="1">
      <alignment horizontal="center" vertical="center"/>
    </xf>
    <xf numFmtId="2" fontId="85" fillId="0" borderId="26" xfId="0" applyNumberFormat="1" applyFont="1" applyBorder="1" applyAlignment="1">
      <alignment horizontal="right"/>
    </xf>
    <xf numFmtId="2" fontId="84" fillId="0" borderId="26" xfId="0" applyNumberFormat="1" applyFont="1" applyBorder="1" applyAlignment="1">
      <alignment horizontal="right"/>
    </xf>
    <xf numFmtId="0" fontId="85" fillId="0" borderId="27" xfId="0" applyFont="1" applyBorder="1" applyAlignment="1">
      <alignment horizontal="left"/>
    </xf>
    <xf numFmtId="2" fontId="85" fillId="0" borderId="26" xfId="0" applyNumberFormat="1" applyFont="1" applyBorder="1" applyAlignment="1">
      <alignment horizontal="left"/>
    </xf>
    <xf numFmtId="2" fontId="84" fillId="0" borderId="26" xfId="0" applyNumberFormat="1" applyFont="1" applyBorder="1" applyAlignment="1">
      <alignment horizontal="left"/>
    </xf>
    <xf numFmtId="2" fontId="86" fillId="0" borderId="26" xfId="0" applyNumberFormat="1" applyFont="1" applyBorder="1" applyAlignment="1">
      <alignment horizontal="left"/>
    </xf>
    <xf numFmtId="2" fontId="95" fillId="0" borderId="26" xfId="0" applyNumberFormat="1" applyFont="1" applyBorder="1" applyAlignment="1">
      <alignment horizontal="left"/>
    </xf>
    <xf numFmtId="2" fontId="90" fillId="0" borderId="26" xfId="44" applyNumberFormat="1" applyFont="1" applyBorder="1" applyAlignment="1">
      <alignment horizontal="right"/>
    </xf>
    <xf numFmtId="2" fontId="90" fillId="0" borderId="26" xfId="42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90" fillId="0" borderId="26" xfId="0" applyNumberFormat="1" applyFont="1" applyBorder="1" applyAlignment="1">
      <alignment horizontal="right" wrapText="1"/>
    </xf>
    <xf numFmtId="3" fontId="92" fillId="0" borderId="26" xfId="0" applyNumberFormat="1" applyFont="1" applyBorder="1" applyAlignment="1">
      <alignment horizontal="right"/>
    </xf>
    <xf numFmtId="3" fontId="96" fillId="0" borderId="26" xfId="0" applyNumberFormat="1" applyFont="1" applyBorder="1" applyAlignment="1">
      <alignment horizontal="right"/>
    </xf>
    <xf numFmtId="165" fontId="92" fillId="0" borderId="26" xfId="0" applyNumberFormat="1" applyFont="1" applyBorder="1" applyAlignment="1">
      <alignment horizontal="right"/>
    </xf>
    <xf numFmtId="2" fontId="90" fillId="0" borderId="26" xfId="0" applyNumberFormat="1" applyFont="1" applyFill="1" applyBorder="1" applyAlignment="1">
      <alignment horizontal="right"/>
    </xf>
    <xf numFmtId="1" fontId="110" fillId="0" borderId="42" xfId="0" applyNumberFormat="1" applyFont="1" applyFill="1" applyBorder="1" applyAlignment="1">
      <alignment horizontal="left" vertical="top" wrapText="1"/>
    </xf>
    <xf numFmtId="1" fontId="110" fillId="0" borderId="29" xfId="0" applyNumberFormat="1" applyFont="1" applyFill="1" applyBorder="1" applyAlignment="1">
      <alignment horizontal="left" vertical="center"/>
    </xf>
    <xf numFmtId="1" fontId="110" fillId="0" borderId="28" xfId="0" applyNumberFormat="1" applyFont="1" applyFill="1" applyBorder="1" applyAlignment="1">
      <alignment horizontal="left" vertical="center"/>
    </xf>
    <xf numFmtId="1" fontId="110" fillId="0" borderId="30" xfId="0" applyNumberFormat="1" applyFont="1" applyFill="1" applyBorder="1" applyAlignment="1">
      <alignment horizontal="left" vertical="center"/>
    </xf>
    <xf numFmtId="1" fontId="110" fillId="0" borderId="31" xfId="0" applyNumberFormat="1" applyFont="1" applyBorder="1" applyAlignment="1">
      <alignment horizontal="left" vertical="center"/>
    </xf>
    <xf numFmtId="1" fontId="110" fillId="0" borderId="42" xfId="0" applyNumberFormat="1" applyFont="1" applyBorder="1" applyAlignment="1">
      <alignment horizontal="left" vertical="center"/>
    </xf>
    <xf numFmtId="1" fontId="110" fillId="0" borderId="0" xfId="0" applyNumberFormat="1" applyFont="1" applyFill="1" applyAlignment="1">
      <alignment horizontal="left"/>
    </xf>
    <xf numFmtId="1" fontId="111" fillId="0" borderId="24" xfId="0" applyNumberFormat="1" applyFont="1" applyFill="1" applyBorder="1" applyAlignment="1">
      <alignment horizontal="left" vertical="top" wrapText="1"/>
    </xf>
    <xf numFmtId="1" fontId="110" fillId="0" borderId="11" xfId="0" applyNumberFormat="1" applyFont="1" applyBorder="1" applyAlignment="1">
      <alignment horizontal="left" vertical="center"/>
    </xf>
    <xf numFmtId="1" fontId="110" fillId="0" borderId="12" xfId="0" applyNumberFormat="1" applyFont="1" applyBorder="1" applyAlignment="1">
      <alignment horizontal="left" vertical="center"/>
    </xf>
    <xf numFmtId="1" fontId="110" fillId="0" borderId="10" xfId="0" applyNumberFormat="1" applyFont="1" applyBorder="1" applyAlignment="1">
      <alignment horizontal="left" vertical="center"/>
    </xf>
    <xf numFmtId="1" fontId="110" fillId="0" borderId="14" xfId="0" applyNumberFormat="1" applyFont="1" applyBorder="1" applyAlignment="1">
      <alignment horizontal="left" vertical="center"/>
    </xf>
    <xf numFmtId="1" fontId="110" fillId="0" borderId="24" xfId="0" applyNumberFormat="1" applyFont="1" applyBorder="1" applyAlignment="1">
      <alignment horizontal="left" vertical="center"/>
    </xf>
    <xf numFmtId="1" fontId="111" fillId="0" borderId="0" xfId="0" applyNumberFormat="1" applyFont="1" applyAlignment="1">
      <alignment horizontal="left"/>
    </xf>
    <xf numFmtId="1" fontId="111" fillId="0" borderId="12" xfId="0" applyNumberFormat="1" applyFont="1" applyBorder="1" applyAlignment="1">
      <alignment horizontal="left" vertical="center"/>
    </xf>
    <xf numFmtId="1" fontId="111" fillId="0" borderId="10" xfId="0" applyNumberFormat="1" applyFont="1" applyBorder="1" applyAlignment="1">
      <alignment horizontal="left" vertical="center"/>
    </xf>
    <xf numFmtId="1" fontId="111" fillId="0" borderId="14" xfId="0" applyNumberFormat="1" applyFont="1" applyBorder="1" applyAlignment="1">
      <alignment horizontal="left" vertical="center"/>
    </xf>
    <xf numFmtId="0" fontId="110" fillId="0" borderId="17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110" fillId="0" borderId="27" xfId="0" applyFont="1" applyBorder="1" applyAlignment="1">
      <alignment horizontal="left"/>
    </xf>
    <xf numFmtId="1" fontId="84" fillId="0" borderId="19" xfId="0" applyNumberFormat="1" applyFont="1" applyBorder="1" applyAlignment="1">
      <alignment horizontal="left" vertical="center"/>
    </xf>
    <xf numFmtId="1" fontId="84" fillId="0" borderId="16" xfId="0" applyNumberFormat="1" applyFont="1" applyBorder="1" applyAlignment="1">
      <alignment horizontal="left" vertical="center"/>
    </xf>
    <xf numFmtId="1" fontId="84" fillId="0" borderId="18" xfId="0" applyNumberFormat="1" applyFont="1" applyBorder="1" applyAlignment="1">
      <alignment horizontal="left" vertical="center"/>
    </xf>
    <xf numFmtId="1" fontId="85" fillId="0" borderId="16" xfId="0" applyNumberFormat="1" applyFont="1" applyFill="1" applyBorder="1" applyAlignment="1">
      <alignment horizontal="left" vertical="center" shrinkToFit="1"/>
    </xf>
    <xf numFmtId="1" fontId="85" fillId="0" borderId="18" xfId="0" applyNumberFormat="1" applyFont="1" applyFill="1" applyBorder="1" applyAlignment="1">
      <alignment horizontal="left" vertical="center" shrinkToFit="1"/>
    </xf>
    <xf numFmtId="1" fontId="84" fillId="0" borderId="38" xfId="0" applyNumberFormat="1" applyFont="1" applyBorder="1" applyAlignment="1">
      <alignment horizontal="left" vertical="center"/>
    </xf>
    <xf numFmtId="1" fontId="84" fillId="0" borderId="37" xfId="0" applyNumberFormat="1" applyFont="1" applyBorder="1" applyAlignment="1">
      <alignment horizontal="left" vertical="center"/>
    </xf>
    <xf numFmtId="0" fontId="110" fillId="0" borderId="74" xfId="0" applyFont="1" applyBorder="1" applyAlignment="1">
      <alignment horizontal="left"/>
    </xf>
    <xf numFmtId="0" fontId="110" fillId="0" borderId="75" xfId="0" applyFont="1" applyBorder="1" applyAlignment="1">
      <alignment horizontal="left"/>
    </xf>
    <xf numFmtId="0" fontId="110" fillId="0" borderId="76" xfId="0" applyFont="1" applyBorder="1" applyAlignment="1">
      <alignment horizontal="left"/>
    </xf>
    <xf numFmtId="0" fontId="95" fillId="0" borderId="19" xfId="0" applyFont="1" applyBorder="1" applyAlignment="1">
      <alignment/>
    </xf>
    <xf numFmtId="1" fontId="93" fillId="0" borderId="67" xfId="0" applyNumberFormat="1" applyFont="1" applyBorder="1" applyAlignment="1">
      <alignment horizontal="left" vertical="center" wrapText="1"/>
    </xf>
    <xf numFmtId="0" fontId="95" fillId="0" borderId="26" xfId="0" applyFont="1" applyBorder="1" applyAlignment="1">
      <alignment/>
    </xf>
    <xf numFmtId="1" fontId="93" fillId="0" borderId="52" xfId="0" applyNumberFormat="1" applyFont="1" applyFill="1" applyBorder="1" applyAlignment="1">
      <alignment horizontal="left" vertical="center" wrapText="1"/>
    </xf>
    <xf numFmtId="1" fontId="93" fillId="0" borderId="49" xfId="0" applyNumberFormat="1" applyFont="1" applyBorder="1" applyAlignment="1">
      <alignment horizontal="left" vertical="center" wrapText="1"/>
    </xf>
    <xf numFmtId="1" fontId="93" fillId="0" borderId="51" xfId="0" applyNumberFormat="1" applyFont="1" applyBorder="1" applyAlignment="1">
      <alignment horizontal="left" vertical="center" wrapText="1"/>
    </xf>
    <xf numFmtId="1" fontId="93" fillId="0" borderId="67" xfId="0" applyNumberFormat="1" applyFont="1" applyBorder="1" applyAlignment="1">
      <alignment horizontal="left" vertical="justify" wrapText="1"/>
    </xf>
    <xf numFmtId="0" fontId="95" fillId="0" borderId="0" xfId="0" applyFont="1" applyBorder="1" applyAlignment="1">
      <alignment/>
    </xf>
    <xf numFmtId="0" fontId="95" fillId="0" borderId="30" xfId="0" applyFont="1" applyBorder="1" applyAlignment="1">
      <alignment/>
    </xf>
    <xf numFmtId="0" fontId="93" fillId="0" borderId="67" xfId="0" applyFont="1" applyFill="1" applyBorder="1" applyAlignment="1">
      <alignment horizontal="left" vertical="center" wrapText="1"/>
    </xf>
    <xf numFmtId="0" fontId="95" fillId="0" borderId="20" xfId="0" applyFont="1" applyBorder="1" applyAlignment="1">
      <alignment/>
    </xf>
    <xf numFmtId="1" fontId="90" fillId="0" borderId="14" xfId="0" applyNumberFormat="1" applyFont="1" applyBorder="1" applyAlignment="1">
      <alignment horizontal="left" vertical="center"/>
    </xf>
    <xf numFmtId="1" fontId="91" fillId="0" borderId="14" xfId="0" applyNumberFormat="1" applyFont="1" applyBorder="1" applyAlignment="1">
      <alignment horizontal="left" vertical="center"/>
    </xf>
    <xf numFmtId="1" fontId="90" fillId="0" borderId="22" xfId="0" applyNumberFormat="1" applyFont="1" applyBorder="1" applyAlignment="1">
      <alignment horizontal="left" vertical="center"/>
    </xf>
    <xf numFmtId="1" fontId="94" fillId="0" borderId="24" xfId="0" applyNumberFormat="1" applyFont="1" applyBorder="1" applyAlignment="1">
      <alignment horizontal="left"/>
    </xf>
    <xf numFmtId="1" fontId="87" fillId="0" borderId="24" xfId="0" applyNumberFormat="1" applyFont="1" applyBorder="1" applyAlignment="1">
      <alignment horizontal="left"/>
    </xf>
    <xf numFmtId="1" fontId="87" fillId="0" borderId="54" xfId="0" applyNumberFormat="1" applyFont="1" applyBorder="1" applyAlignment="1">
      <alignment horizontal="left"/>
    </xf>
    <xf numFmtId="1" fontId="93" fillId="0" borderId="66" xfId="0" applyNumberFormat="1" applyFont="1" applyFill="1" applyBorder="1" applyAlignment="1">
      <alignment horizontal="center" vertical="center" wrapText="1"/>
    </xf>
    <xf numFmtId="1" fontId="93" fillId="0" borderId="67" xfId="0" applyNumberFormat="1" applyFont="1" applyFill="1" applyBorder="1" applyAlignment="1">
      <alignment horizontal="center" vertical="center" wrapText="1"/>
    </xf>
    <xf numFmtId="0" fontId="112" fillId="0" borderId="35" xfId="0" applyFont="1" applyBorder="1" applyAlignment="1">
      <alignment horizontal="left"/>
    </xf>
    <xf numFmtId="0" fontId="110" fillId="0" borderId="35" xfId="0" applyFont="1" applyBorder="1" applyAlignment="1">
      <alignment horizontal="left"/>
    </xf>
    <xf numFmtId="0" fontId="113" fillId="0" borderId="0" xfId="0" applyFont="1" applyAlignment="1">
      <alignment/>
    </xf>
    <xf numFmtId="0" fontId="110" fillId="0" borderId="34" xfId="0" applyFont="1" applyBorder="1" applyAlignment="1">
      <alignment horizontal="left"/>
    </xf>
    <xf numFmtId="0" fontId="114" fillId="0" borderId="0" xfId="0" applyFont="1" applyAlignment="1">
      <alignment/>
    </xf>
    <xf numFmtId="0" fontId="112" fillId="0" borderId="54" xfId="0" applyFont="1" applyBorder="1" applyAlignment="1">
      <alignment horizontal="left"/>
    </xf>
    <xf numFmtId="1" fontId="112" fillId="0" borderId="21" xfId="0" applyNumberFormat="1" applyFont="1" applyBorder="1" applyAlignment="1">
      <alignment horizontal="left" vertical="center"/>
    </xf>
    <xf numFmtId="1" fontId="112" fillId="0" borderId="22" xfId="0" applyNumberFormat="1" applyFont="1" applyBorder="1" applyAlignment="1">
      <alignment horizontal="left" vertical="center"/>
    </xf>
    <xf numFmtId="1" fontId="112" fillId="0" borderId="59" xfId="0" applyNumberFormat="1" applyFont="1" applyBorder="1" applyAlignment="1">
      <alignment horizontal="left" vertical="center"/>
    </xf>
    <xf numFmtId="1" fontId="112" fillId="0" borderId="43" xfId="0" applyNumberFormat="1" applyFont="1" applyBorder="1" applyAlignment="1">
      <alignment horizontal="left"/>
    </xf>
    <xf numFmtId="1" fontId="112" fillId="0" borderId="54" xfId="0" applyNumberFormat="1" applyFont="1" applyBorder="1" applyAlignment="1">
      <alignment horizontal="left"/>
    </xf>
    <xf numFmtId="2" fontId="112" fillId="0" borderId="43" xfId="0" applyNumberFormat="1" applyFont="1" applyBorder="1" applyAlignment="1">
      <alignment horizontal="left"/>
    </xf>
    <xf numFmtId="2" fontId="112" fillId="0" borderId="54" xfId="0" applyNumberFormat="1" applyFont="1" applyBorder="1" applyAlignment="1">
      <alignment horizontal="left"/>
    </xf>
    <xf numFmtId="1" fontId="112" fillId="0" borderId="13" xfId="0" applyNumberFormat="1" applyFont="1" applyFill="1" applyBorder="1" applyAlignment="1">
      <alignment horizontal="left"/>
    </xf>
    <xf numFmtId="1" fontId="112" fillId="0" borderId="13" xfId="42" applyNumberFormat="1" applyFont="1" applyBorder="1" applyAlignment="1">
      <alignment horizontal="left"/>
    </xf>
    <xf numFmtId="1" fontId="112" fillId="0" borderId="21" xfId="42" applyNumberFormat="1" applyFont="1" applyBorder="1" applyAlignment="1">
      <alignment horizontal="left"/>
    </xf>
    <xf numFmtId="0" fontId="112" fillId="0" borderId="0" xfId="0" applyFont="1" applyAlignment="1">
      <alignment horizontal="left"/>
    </xf>
    <xf numFmtId="1" fontId="115" fillId="0" borderId="0" xfId="0" applyNumberFormat="1" applyFont="1" applyAlignment="1">
      <alignment/>
    </xf>
    <xf numFmtId="1" fontId="95" fillId="0" borderId="15" xfId="44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95" fillId="0" borderId="32" xfId="44" applyNumberFormat="1" applyFont="1" applyBorder="1" applyAlignment="1">
      <alignment horizontal="left"/>
    </xf>
    <xf numFmtId="1" fontId="92" fillId="0" borderId="32" xfId="0" applyNumberFormat="1" applyFont="1" applyBorder="1" applyAlignment="1">
      <alignment horizontal="left"/>
    </xf>
    <xf numFmtId="1" fontId="95" fillId="0" borderId="33" xfId="0" applyNumberFormat="1" applyFont="1" applyBorder="1" applyAlignment="1">
      <alignment horizontal="left"/>
    </xf>
    <xf numFmtId="1" fontId="95" fillId="0" borderId="80" xfId="0" applyNumberFormat="1" applyFont="1" applyBorder="1" applyAlignment="1">
      <alignment horizontal="left"/>
    </xf>
    <xf numFmtId="1" fontId="112" fillId="0" borderId="0" xfId="0" applyNumberFormat="1" applyFont="1" applyAlignment="1">
      <alignment horizontal="left"/>
    </xf>
    <xf numFmtId="1" fontId="93" fillId="0" borderId="42" xfId="0" applyNumberFormat="1" applyFont="1" applyBorder="1" applyAlignment="1">
      <alignment horizontal="left"/>
    </xf>
    <xf numFmtId="1" fontId="112" fillId="0" borderId="79" xfId="0" applyNumberFormat="1" applyFont="1" applyBorder="1" applyAlignment="1">
      <alignment horizontal="left" vertical="center"/>
    </xf>
    <xf numFmtId="1" fontId="112" fillId="0" borderId="74" xfId="0" applyNumberFormat="1" applyFont="1" applyBorder="1" applyAlignment="1">
      <alignment horizontal="left" vertical="center"/>
    </xf>
    <xf numFmtId="1" fontId="112" fillId="0" borderId="77" xfId="0" applyNumberFormat="1" applyFont="1" applyBorder="1" applyAlignment="1">
      <alignment horizontal="left" vertical="center"/>
    </xf>
    <xf numFmtId="1" fontId="112" fillId="0" borderId="78" xfId="0" applyNumberFormat="1" applyFont="1" applyBorder="1" applyAlignment="1">
      <alignment horizontal="left" vertical="center"/>
    </xf>
    <xf numFmtId="1" fontId="112" fillId="0" borderId="81" xfId="0" applyNumberFormat="1" applyFont="1" applyBorder="1" applyAlignment="1">
      <alignment horizontal="left"/>
    </xf>
    <xf numFmtId="1" fontId="112" fillId="0" borderId="79" xfId="0" applyNumberFormat="1" applyFont="1" applyBorder="1" applyAlignment="1">
      <alignment horizontal="left"/>
    </xf>
    <xf numFmtId="1" fontId="112" fillId="0" borderId="78" xfId="0" applyNumberFormat="1" applyFont="1" applyBorder="1" applyAlignment="1">
      <alignment horizontal="left"/>
    </xf>
    <xf numFmtId="1" fontId="112" fillId="0" borderId="78" xfId="42" applyNumberFormat="1" applyFont="1" applyBorder="1" applyAlignment="1">
      <alignment horizontal="left"/>
    </xf>
    <xf numFmtId="1" fontId="112" fillId="0" borderId="75" xfId="42" applyNumberFormat="1" applyFont="1" applyBorder="1" applyAlignment="1">
      <alignment horizontal="left"/>
    </xf>
    <xf numFmtId="1" fontId="112" fillId="0" borderId="77" xfId="0" applyNumberFormat="1" applyFont="1" applyBorder="1" applyAlignment="1">
      <alignment horizontal="left"/>
    </xf>
    <xf numFmtId="1" fontId="110" fillId="0" borderId="74" xfId="0" applyNumberFormat="1" applyFont="1" applyBorder="1" applyAlignment="1">
      <alignment horizontal="left"/>
    </xf>
    <xf numFmtId="1" fontId="116" fillId="0" borderId="75" xfId="0" applyNumberFormat="1" applyFont="1" applyBorder="1" applyAlignment="1">
      <alignment horizontal="left"/>
    </xf>
    <xf numFmtId="1" fontId="116" fillId="0" borderId="76" xfId="0" applyNumberFormat="1" applyFont="1" applyBorder="1" applyAlignment="1">
      <alignment horizontal="left"/>
    </xf>
    <xf numFmtId="1" fontId="116" fillId="0" borderId="75" xfId="0" applyNumberFormat="1" applyFont="1" applyFill="1" applyBorder="1" applyAlignment="1">
      <alignment horizontal="left"/>
    </xf>
    <xf numFmtId="1" fontId="116" fillId="0" borderId="0" xfId="0" applyNumberFormat="1" applyFont="1" applyAlignment="1">
      <alignment horizontal="left"/>
    </xf>
    <xf numFmtId="1" fontId="93" fillId="0" borderId="41" xfId="0" applyNumberFormat="1" applyFont="1" applyBorder="1" applyAlignment="1">
      <alignment horizontal="left"/>
    </xf>
    <xf numFmtId="0" fontId="112" fillId="0" borderId="82" xfId="0" applyFont="1" applyBorder="1" applyAlignment="1">
      <alignment horizontal="left"/>
    </xf>
    <xf numFmtId="0" fontId="112" fillId="0" borderId="34" xfId="0" applyFont="1" applyBorder="1" applyAlignment="1">
      <alignment horizontal="left"/>
    </xf>
    <xf numFmtId="1" fontId="115" fillId="0" borderId="0" xfId="0" applyNumberFormat="1" applyFont="1" applyAlignment="1">
      <alignment horizontal="left"/>
    </xf>
    <xf numFmtId="1" fontId="90" fillId="0" borderId="15" xfId="42" applyNumberFormat="1" applyFont="1" applyBorder="1" applyAlignment="1">
      <alignment horizontal="left"/>
    </xf>
    <xf numFmtId="1" fontId="91" fillId="0" borderId="40" xfId="0" applyNumberFormat="1" applyFont="1" applyBorder="1" applyAlignment="1">
      <alignment horizontal="left" vertical="center"/>
    </xf>
    <xf numFmtId="1" fontId="91" fillId="0" borderId="41" xfId="0" applyNumberFormat="1" applyFont="1" applyBorder="1" applyAlignment="1">
      <alignment horizontal="left" vertical="center"/>
    </xf>
    <xf numFmtId="0" fontId="112" fillId="0" borderId="77" xfId="0" applyFont="1" applyBorder="1" applyAlignment="1">
      <alignment horizontal="left"/>
    </xf>
    <xf numFmtId="1" fontId="112" fillId="0" borderId="83" xfId="0" applyNumberFormat="1" applyFont="1" applyBorder="1" applyAlignment="1">
      <alignment horizontal="left" vertical="center"/>
    </xf>
    <xf numFmtId="1" fontId="112" fillId="0" borderId="76" xfId="0" applyNumberFormat="1" applyFont="1" applyBorder="1" applyAlignment="1">
      <alignment horizontal="left"/>
    </xf>
    <xf numFmtId="0" fontId="115" fillId="0" borderId="0" xfId="0" applyFont="1" applyAlignment="1">
      <alignment horizontal="left"/>
    </xf>
    <xf numFmtId="2" fontId="115" fillId="0" borderId="75" xfId="0" applyNumberFormat="1" applyFont="1" applyBorder="1" applyAlignment="1">
      <alignment horizontal="left"/>
    </xf>
    <xf numFmtId="2" fontId="115" fillId="0" borderId="76" xfId="0" applyNumberFormat="1" applyFont="1" applyBorder="1" applyAlignment="1">
      <alignment horizontal="left"/>
    </xf>
    <xf numFmtId="1" fontId="115" fillId="0" borderId="76" xfId="0" applyNumberFormat="1" applyFont="1" applyBorder="1" applyAlignment="1">
      <alignment horizontal="left"/>
    </xf>
    <xf numFmtId="1" fontId="115" fillId="0" borderId="75" xfId="0" applyNumberFormat="1" applyFont="1" applyBorder="1" applyAlignment="1">
      <alignment horizontal="left"/>
    </xf>
    <xf numFmtId="2" fontId="115" fillId="0" borderId="84" xfId="0" applyNumberFormat="1" applyFont="1" applyBorder="1" applyAlignment="1">
      <alignment horizontal="left"/>
    </xf>
    <xf numFmtId="1" fontId="117" fillId="0" borderId="64" xfId="0" applyNumberFormat="1" applyFont="1" applyBorder="1" applyAlignment="1">
      <alignment horizontal="justify" vertical="justify" wrapText="1"/>
    </xf>
    <xf numFmtId="1" fontId="113" fillId="0" borderId="0" xfId="0" applyNumberFormat="1" applyFont="1" applyAlignment="1">
      <alignment horizontal="justify" vertical="justify" wrapText="1"/>
    </xf>
    <xf numFmtId="0" fontId="112" fillId="0" borderId="76" xfId="0" applyFont="1" applyBorder="1" applyAlignment="1">
      <alignment horizontal="left"/>
    </xf>
    <xf numFmtId="0" fontId="115" fillId="0" borderId="0" xfId="0" applyFont="1" applyAlignment="1">
      <alignment/>
    </xf>
    <xf numFmtId="0" fontId="110" fillId="0" borderId="54" xfId="0" applyFont="1" applyBorder="1" applyAlignment="1">
      <alignment horizontal="left"/>
    </xf>
    <xf numFmtId="0" fontId="113" fillId="0" borderId="59" xfId="0" applyFont="1" applyBorder="1" applyAlignment="1">
      <alignment/>
    </xf>
    <xf numFmtId="0" fontId="113" fillId="0" borderId="22" xfId="0" applyFont="1" applyBorder="1" applyAlignment="1">
      <alignment/>
    </xf>
    <xf numFmtId="0" fontId="113" fillId="0" borderId="21" xfId="0" applyFont="1" applyBorder="1" applyAlignment="1">
      <alignment/>
    </xf>
    <xf numFmtId="0" fontId="113" fillId="0" borderId="63" xfId="0" applyFont="1" applyBorder="1" applyAlignment="1">
      <alignment/>
    </xf>
    <xf numFmtId="0" fontId="113" fillId="0" borderId="54" xfId="0" applyFont="1" applyBorder="1" applyAlignment="1">
      <alignment/>
    </xf>
    <xf numFmtId="0" fontId="111" fillId="0" borderId="59" xfId="0" applyFont="1" applyBorder="1" applyAlignment="1">
      <alignment horizontal="left"/>
    </xf>
    <xf numFmtId="0" fontId="111" fillId="0" borderId="21" xfId="0" applyFont="1" applyBorder="1" applyAlignment="1">
      <alignment horizontal="left"/>
    </xf>
    <xf numFmtId="0" fontId="111" fillId="0" borderId="60" xfId="0" applyFont="1" applyBorder="1" applyAlignment="1">
      <alignment horizontal="left"/>
    </xf>
    <xf numFmtId="0" fontId="111" fillId="0" borderId="54" xfId="0" applyFont="1" applyBorder="1" applyAlignment="1">
      <alignment horizontal="left"/>
    </xf>
    <xf numFmtId="0" fontId="111" fillId="0" borderId="0" xfId="0" applyFont="1" applyAlignment="1">
      <alignment horizontal="left"/>
    </xf>
    <xf numFmtId="0" fontId="112" fillId="0" borderId="53" xfId="0" applyFont="1" applyBorder="1" applyAlignment="1">
      <alignment horizontal="left"/>
    </xf>
    <xf numFmtId="0" fontId="112" fillId="0" borderId="75" xfId="0" applyFont="1" applyBorder="1" applyAlignment="1">
      <alignment horizontal="left"/>
    </xf>
    <xf numFmtId="0" fontId="112" fillId="0" borderId="24" xfId="0" applyFont="1" applyBorder="1" applyAlignment="1">
      <alignment horizontal="left"/>
    </xf>
    <xf numFmtId="3" fontId="112" fillId="0" borderId="25" xfId="0" applyNumberFormat="1" applyFont="1" applyBorder="1" applyAlignment="1">
      <alignment horizontal="left"/>
    </xf>
    <xf numFmtId="0" fontId="93" fillId="0" borderId="54" xfId="0" applyFont="1" applyBorder="1" applyAlignment="1">
      <alignment horizontal="left"/>
    </xf>
    <xf numFmtId="0" fontId="87" fillId="0" borderId="40" xfId="0" applyFont="1" applyBorder="1" applyAlignment="1">
      <alignment horizontal="left"/>
    </xf>
    <xf numFmtId="0" fontId="89" fillId="0" borderId="33" xfId="0" applyFont="1" applyBorder="1" applyAlignment="1">
      <alignment/>
    </xf>
    <xf numFmtId="0" fontId="94" fillId="0" borderId="68" xfId="0" applyFont="1" applyBorder="1" applyAlignment="1">
      <alignment horizontal="left"/>
    </xf>
    <xf numFmtId="0" fontId="94" fillId="0" borderId="40" xfId="0" applyFont="1" applyBorder="1" applyAlignment="1">
      <alignment horizontal="left"/>
    </xf>
    <xf numFmtId="165" fontId="87" fillId="0" borderId="64" xfId="0" applyNumberFormat="1" applyFont="1" applyBorder="1" applyAlignment="1">
      <alignment horizontal="left"/>
    </xf>
    <xf numFmtId="0" fontId="89" fillId="0" borderId="42" xfId="0" applyFont="1" applyBorder="1" applyAlignment="1">
      <alignment/>
    </xf>
    <xf numFmtId="0" fontId="110" fillId="0" borderId="53" xfId="0" applyFont="1" applyBorder="1" applyAlignment="1">
      <alignment horizontal="left"/>
    </xf>
    <xf numFmtId="0" fontId="111" fillId="0" borderId="77" xfId="0" applyFont="1" applyBorder="1" applyAlignment="1">
      <alignment horizontal="left" vertical="justify" wrapText="1"/>
    </xf>
    <xf numFmtId="0" fontId="110" fillId="0" borderId="74" xfId="0" applyFont="1" applyFill="1" applyBorder="1" applyAlignment="1">
      <alignment horizontal="left" vertical="justify" wrapText="1"/>
    </xf>
    <xf numFmtId="0" fontId="110" fillId="0" borderId="77" xfId="0" applyFont="1" applyBorder="1" applyAlignment="1">
      <alignment horizontal="left" vertical="justify" wrapText="1"/>
    </xf>
    <xf numFmtId="0" fontId="110" fillId="0" borderId="77" xfId="0" applyFont="1" applyFill="1" applyBorder="1" applyAlignment="1">
      <alignment horizontal="left" vertical="justify" wrapText="1"/>
    </xf>
    <xf numFmtId="0" fontId="111" fillId="0" borderId="0" xfId="0" applyFont="1" applyAlignment="1">
      <alignment horizontal="left" vertical="justify" wrapText="1"/>
    </xf>
    <xf numFmtId="2" fontId="110" fillId="0" borderId="77" xfId="0" applyNumberFormat="1" applyFont="1" applyBorder="1" applyAlignment="1">
      <alignment horizontal="left"/>
    </xf>
    <xf numFmtId="2" fontId="110" fillId="0" borderId="74" xfId="0" applyNumberFormat="1" applyFont="1" applyBorder="1" applyAlignment="1">
      <alignment horizontal="left" vertical="center"/>
    </xf>
    <xf numFmtId="2" fontId="110" fillId="0" borderId="74" xfId="0" applyNumberFormat="1" applyFont="1" applyBorder="1" applyAlignment="1">
      <alignment horizontal="left"/>
    </xf>
    <xf numFmtId="2" fontId="110" fillId="0" borderId="74" xfId="44" applyNumberFormat="1" applyFont="1" applyBorder="1" applyAlignment="1">
      <alignment horizontal="left"/>
    </xf>
    <xf numFmtId="2" fontId="110" fillId="0" borderId="74" xfId="0" applyNumberFormat="1" applyFont="1" applyBorder="1" applyAlignment="1">
      <alignment horizontal="left" wrapText="1"/>
    </xf>
    <xf numFmtId="2" fontId="110" fillId="0" borderId="74" xfId="0" applyNumberFormat="1" applyFont="1" applyFill="1" applyBorder="1" applyAlignment="1">
      <alignment horizontal="left"/>
    </xf>
    <xf numFmtId="2" fontId="110" fillId="0" borderId="77" xfId="42" applyNumberFormat="1" applyFont="1" applyBorder="1" applyAlignment="1">
      <alignment horizontal="left"/>
    </xf>
    <xf numFmtId="2" fontId="110" fillId="0" borderId="76" xfId="0" applyNumberFormat="1" applyFont="1" applyBorder="1" applyAlignment="1">
      <alignment horizontal="left"/>
    </xf>
    <xf numFmtId="2" fontId="111" fillId="0" borderId="0" xfId="0" applyNumberFormat="1" applyFont="1" applyAlignment="1">
      <alignment horizontal="left"/>
    </xf>
    <xf numFmtId="0" fontId="112" fillId="0" borderId="31" xfId="0" applyFont="1" applyBorder="1" applyAlignment="1">
      <alignment horizontal="left"/>
    </xf>
    <xf numFmtId="0" fontId="112" fillId="0" borderId="29" xfId="0" applyFont="1" applyBorder="1" applyAlignment="1">
      <alignment horizontal="left"/>
    </xf>
    <xf numFmtId="0" fontId="112" fillId="0" borderId="32" xfId="0" applyFont="1" applyBorder="1" applyAlignment="1">
      <alignment horizontal="left"/>
    </xf>
    <xf numFmtId="2" fontId="84" fillId="0" borderId="24" xfId="0" applyNumberFormat="1" applyFont="1" applyBorder="1" applyAlignment="1">
      <alignment horizontal="left"/>
    </xf>
    <xf numFmtId="0" fontId="84" fillId="0" borderId="85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0" fillId="0" borderId="77" xfId="0" applyFont="1" applyBorder="1" applyAlignment="1">
      <alignment horizontal="center" vertical="justify" wrapText="1"/>
    </xf>
    <xf numFmtId="0" fontId="110" fillId="0" borderId="79" xfId="0" applyFont="1" applyBorder="1" applyAlignment="1">
      <alignment horizontal="center" vertical="justify" wrapText="1"/>
    </xf>
    <xf numFmtId="0" fontId="110" fillId="0" borderId="75" xfId="0" applyFont="1" applyBorder="1" applyAlignment="1">
      <alignment horizontal="center" vertical="justify" wrapText="1"/>
    </xf>
    <xf numFmtId="0" fontId="110" fillId="0" borderId="76" xfId="0" applyFont="1" applyBorder="1" applyAlignment="1">
      <alignment horizontal="center" vertical="justify" wrapText="1"/>
    </xf>
    <xf numFmtId="0" fontId="110" fillId="0" borderId="78" xfId="0" applyFont="1" applyBorder="1" applyAlignment="1">
      <alignment horizontal="center" vertical="justify" wrapText="1"/>
    </xf>
    <xf numFmtId="0" fontId="111" fillId="0" borderId="0" xfId="0" applyFont="1" applyAlignment="1">
      <alignment horizontal="center" vertical="justify" wrapText="1"/>
    </xf>
    <xf numFmtId="1" fontId="110" fillId="0" borderId="78" xfId="0" applyNumberFormat="1" applyFont="1" applyBorder="1" applyAlignment="1">
      <alignment horizontal="left"/>
    </xf>
    <xf numFmtId="1" fontId="110" fillId="0" borderId="83" xfId="0" applyNumberFormat="1" applyFont="1" applyBorder="1" applyAlignment="1">
      <alignment horizontal="left"/>
    </xf>
    <xf numFmtId="1" fontId="110" fillId="0" borderId="84" xfId="0" applyNumberFormat="1" applyFont="1" applyBorder="1" applyAlignment="1">
      <alignment horizontal="left"/>
    </xf>
    <xf numFmtId="1" fontId="110" fillId="0" borderId="76" xfId="0" applyNumberFormat="1" applyFont="1" applyBorder="1" applyAlignment="1">
      <alignment horizontal="left"/>
    </xf>
    <xf numFmtId="1" fontId="110" fillId="0" borderId="75" xfId="0" applyNumberFormat="1" applyFont="1" applyBorder="1" applyAlignment="1">
      <alignment horizontal="left"/>
    </xf>
    <xf numFmtId="1" fontId="113" fillId="0" borderId="0" xfId="0" applyNumberFormat="1" applyFont="1" applyAlignment="1">
      <alignment/>
    </xf>
    <xf numFmtId="1" fontId="112" fillId="0" borderId="51" xfId="0" applyNumberFormat="1" applyFont="1" applyBorder="1" applyAlignment="1">
      <alignment horizontal="left"/>
    </xf>
    <xf numFmtId="1" fontId="95" fillId="0" borderId="83" xfId="0" applyNumberFormat="1" applyFont="1" applyBorder="1" applyAlignment="1">
      <alignment horizontal="left"/>
    </xf>
    <xf numFmtId="1" fontId="95" fillId="0" borderId="84" xfId="0" applyNumberFormat="1" applyFont="1" applyBorder="1" applyAlignment="1">
      <alignment horizontal="left"/>
    </xf>
    <xf numFmtId="1" fontId="95" fillId="0" borderId="51" xfId="0" applyNumberFormat="1" applyFont="1" applyBorder="1" applyAlignment="1">
      <alignment horizontal="left"/>
    </xf>
    <xf numFmtId="1" fontId="115" fillId="0" borderId="83" xfId="0" applyNumberFormat="1" applyFont="1" applyBorder="1" applyAlignment="1">
      <alignment horizontal="left"/>
    </xf>
    <xf numFmtId="1" fontId="115" fillId="0" borderId="84" xfId="0" applyNumberFormat="1" applyFont="1" applyBorder="1" applyAlignment="1">
      <alignment horizontal="left"/>
    </xf>
    <xf numFmtId="1" fontId="112" fillId="0" borderId="84" xfId="0" applyNumberFormat="1" applyFont="1" applyBorder="1" applyAlignment="1">
      <alignment horizontal="left" vertical="center"/>
    </xf>
    <xf numFmtId="1" fontId="95" fillId="0" borderId="70" xfId="0" applyNumberFormat="1" applyFont="1" applyBorder="1" applyAlignment="1">
      <alignment horizontal="left"/>
    </xf>
    <xf numFmtId="1" fontId="95" fillId="0" borderId="71" xfId="0" applyNumberFormat="1" applyFont="1" applyBorder="1" applyAlignment="1">
      <alignment horizontal="left"/>
    </xf>
    <xf numFmtId="1" fontId="112" fillId="0" borderId="49" xfId="0" applyNumberFormat="1" applyFont="1" applyBorder="1" applyAlignment="1">
      <alignment horizontal="left" vertical="center"/>
    </xf>
    <xf numFmtId="1" fontId="112" fillId="0" borderId="51" xfId="0" applyNumberFormat="1" applyFont="1" applyBorder="1" applyAlignment="1">
      <alignment horizontal="left" vertical="center"/>
    </xf>
    <xf numFmtId="0" fontId="95" fillId="0" borderId="83" xfId="0" applyFont="1" applyBorder="1" applyAlignment="1">
      <alignment horizontal="left"/>
    </xf>
    <xf numFmtId="2" fontId="95" fillId="0" borderId="70" xfId="0" applyNumberFormat="1" applyFont="1" applyBorder="1" applyAlignment="1">
      <alignment horizontal="left"/>
    </xf>
    <xf numFmtId="2" fontId="115" fillId="0" borderId="85" xfId="0" applyNumberFormat="1" applyFont="1" applyBorder="1" applyAlignment="1">
      <alignment horizontal="left"/>
    </xf>
    <xf numFmtId="1" fontId="115" fillId="0" borderId="46" xfId="0" applyNumberFormat="1" applyFont="1" applyBorder="1" applyAlignment="1">
      <alignment horizontal="left"/>
    </xf>
    <xf numFmtId="0" fontId="112" fillId="0" borderId="74" xfId="0" applyFont="1" applyBorder="1" applyAlignment="1">
      <alignment horizontal="left"/>
    </xf>
    <xf numFmtId="0" fontId="93" fillId="0" borderId="82" xfId="0" applyFont="1" applyBorder="1" applyAlignment="1">
      <alignment horizontal="left"/>
    </xf>
    <xf numFmtId="0" fontId="93" fillId="0" borderId="17" xfId="0" applyFont="1" applyBorder="1" applyAlignment="1">
      <alignment horizontal="left"/>
    </xf>
    <xf numFmtId="2" fontId="112" fillId="0" borderId="51" xfId="0" applyNumberFormat="1" applyFont="1" applyBorder="1" applyAlignment="1">
      <alignment horizontal="left" vertical="center"/>
    </xf>
    <xf numFmtId="0" fontId="95" fillId="0" borderId="84" xfId="0" applyFont="1" applyBorder="1" applyAlignment="1">
      <alignment horizontal="left"/>
    </xf>
    <xf numFmtId="2" fontId="95" fillId="0" borderId="71" xfId="0" applyNumberFormat="1" applyFont="1" applyBorder="1" applyAlignment="1">
      <alignment horizontal="left"/>
    </xf>
    <xf numFmtId="2" fontId="115" fillId="0" borderId="46" xfId="0" applyNumberFormat="1" applyFont="1" applyBorder="1" applyAlignment="1">
      <alignment horizontal="left"/>
    </xf>
    <xf numFmtId="1" fontId="93" fillId="0" borderId="67" xfId="0" applyNumberFormat="1" applyFont="1" applyFill="1" applyBorder="1" applyAlignment="1">
      <alignment horizontal="center" vertical="justify" wrapText="1"/>
    </xf>
    <xf numFmtId="1" fontId="112" fillId="0" borderId="77" xfId="0" applyNumberFormat="1" applyFont="1" applyBorder="1" applyAlignment="1">
      <alignment horizontal="center" vertical="justify" wrapText="1"/>
    </xf>
    <xf numFmtId="1" fontId="112" fillId="0" borderId="76" xfId="0" applyNumberFormat="1" applyFont="1" applyBorder="1" applyAlignment="1">
      <alignment horizontal="center" vertical="justify" wrapText="1"/>
    </xf>
    <xf numFmtId="1" fontId="93" fillId="0" borderId="53" xfId="0" applyNumberFormat="1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left"/>
    </xf>
    <xf numFmtId="0" fontId="95" fillId="0" borderId="29" xfId="0" applyFont="1" applyBorder="1" applyAlignment="1">
      <alignment horizontal="left"/>
    </xf>
    <xf numFmtId="0" fontId="95" fillId="0" borderId="28" xfId="0" applyFont="1" applyBorder="1" applyAlignment="1">
      <alignment horizontal="left"/>
    </xf>
    <xf numFmtId="0" fontId="95" fillId="0" borderId="33" xfId="0" applyFont="1" applyBorder="1" applyAlignment="1">
      <alignment horizontal="left"/>
    </xf>
    <xf numFmtId="0" fontId="95" fillId="0" borderId="30" xfId="0" applyFont="1" applyBorder="1" applyAlignment="1">
      <alignment horizontal="left"/>
    </xf>
    <xf numFmtId="3" fontId="92" fillId="0" borderId="26" xfId="0" applyNumberFormat="1" applyFont="1" applyBorder="1" applyAlignment="1">
      <alignment horizontal="left"/>
    </xf>
    <xf numFmtId="3" fontId="92" fillId="0" borderId="33" xfId="0" applyNumberFormat="1" applyFont="1" applyBorder="1" applyAlignment="1">
      <alignment horizontal="left"/>
    </xf>
    <xf numFmtId="0" fontId="112" fillId="0" borderId="43" xfId="0" applyFont="1" applyBorder="1" applyAlignment="1">
      <alignment horizontal="left" vertical="justify" wrapText="1"/>
    </xf>
    <xf numFmtId="0" fontId="112" fillId="0" borderId="13" xfId="0" applyFont="1" applyBorder="1" applyAlignment="1">
      <alignment horizontal="left" vertical="justify" wrapText="1"/>
    </xf>
    <xf numFmtId="1" fontId="112" fillId="0" borderId="21" xfId="0" applyNumberFormat="1" applyFont="1" applyBorder="1" applyAlignment="1">
      <alignment horizontal="left" vertical="justify" wrapText="1"/>
    </xf>
    <xf numFmtId="0" fontId="112" fillId="0" borderId="22" xfId="0" applyFont="1" applyBorder="1" applyAlignment="1">
      <alignment horizontal="left" vertical="justify" wrapText="1"/>
    </xf>
    <xf numFmtId="1" fontId="112" fillId="0" borderId="21" xfId="0" applyNumberFormat="1" applyFont="1" applyFill="1" applyBorder="1" applyAlignment="1">
      <alignment horizontal="left" vertical="justify" wrapText="1"/>
    </xf>
    <xf numFmtId="1" fontId="90" fillId="0" borderId="38" xfId="0" applyNumberFormat="1" applyFont="1" applyBorder="1" applyAlignment="1">
      <alignment horizontal="left" vertical="center"/>
    </xf>
    <xf numFmtId="1" fontId="90" fillId="0" borderId="19" xfId="0" applyNumberFormat="1" applyFont="1" applyBorder="1" applyAlignment="1">
      <alignment horizontal="left"/>
    </xf>
    <xf numFmtId="1" fontId="90" fillId="0" borderId="16" xfId="0" applyNumberFormat="1" applyFont="1" applyBorder="1" applyAlignment="1">
      <alignment horizontal="left"/>
    </xf>
    <xf numFmtId="1" fontId="90" fillId="0" borderId="18" xfId="0" applyNumberFormat="1" applyFont="1" applyBorder="1" applyAlignment="1">
      <alignment horizontal="left"/>
    </xf>
    <xf numFmtId="1" fontId="90" fillId="0" borderId="18" xfId="0" applyNumberFormat="1" applyFont="1" applyFill="1" applyBorder="1" applyAlignment="1">
      <alignment horizontal="left"/>
    </xf>
    <xf numFmtId="1" fontId="90" fillId="0" borderId="38" xfId="0" applyNumberFormat="1" applyFont="1" applyBorder="1" applyAlignment="1">
      <alignment horizontal="left"/>
    </xf>
    <xf numFmtId="1" fontId="90" fillId="0" borderId="19" xfId="44" applyNumberFormat="1" applyFont="1" applyBorder="1" applyAlignment="1">
      <alignment horizontal="left"/>
    </xf>
    <xf numFmtId="1" fontId="90" fillId="0" borderId="16" xfId="44" applyNumberFormat="1" applyFont="1" applyBorder="1" applyAlignment="1">
      <alignment horizontal="left"/>
    </xf>
    <xf numFmtId="1" fontId="90" fillId="0" borderId="18" xfId="44" applyNumberFormat="1" applyFont="1" applyBorder="1" applyAlignment="1">
      <alignment horizontal="left"/>
    </xf>
    <xf numFmtId="1" fontId="90" fillId="0" borderId="19" xfId="0" applyNumberFormat="1" applyFont="1" applyBorder="1" applyAlignment="1">
      <alignment horizontal="left" wrapText="1"/>
    </xf>
    <xf numFmtId="0" fontId="98" fillId="0" borderId="19" xfId="0" applyFont="1" applyBorder="1" applyAlignment="1">
      <alignment horizontal="left"/>
    </xf>
    <xf numFmtId="1" fontId="90" fillId="0" borderId="19" xfId="0" applyNumberFormat="1" applyFont="1" applyFill="1" applyBorder="1" applyAlignment="1">
      <alignment horizontal="left"/>
    </xf>
    <xf numFmtId="1" fontId="90" fillId="0" borderId="16" xfId="0" applyNumberFormat="1" applyFont="1" applyFill="1" applyBorder="1" applyAlignment="1">
      <alignment horizontal="left"/>
    </xf>
    <xf numFmtId="1" fontId="90" fillId="0" borderId="19" xfId="42" applyNumberFormat="1" applyFont="1" applyBorder="1" applyAlignment="1">
      <alignment horizontal="left"/>
    </xf>
    <xf numFmtId="1" fontId="90" fillId="0" borderId="16" xfId="42" applyNumberFormat="1" applyFont="1" applyBorder="1" applyAlignment="1">
      <alignment horizontal="left"/>
    </xf>
    <xf numFmtId="1" fontId="90" fillId="0" borderId="18" xfId="42" applyNumberFormat="1" applyFont="1" applyBorder="1" applyAlignment="1">
      <alignment horizontal="left"/>
    </xf>
    <xf numFmtId="1" fontId="91" fillId="0" borderId="16" xfId="0" applyNumberFormat="1" applyFont="1" applyBorder="1" applyAlignment="1">
      <alignment horizontal="left"/>
    </xf>
    <xf numFmtId="1" fontId="91" fillId="0" borderId="18" xfId="0" applyNumberFormat="1" applyFont="1" applyBorder="1" applyAlignment="1">
      <alignment horizontal="left"/>
    </xf>
    <xf numFmtId="1" fontId="91" fillId="0" borderId="38" xfId="0" applyNumberFormat="1" applyFont="1" applyBorder="1" applyAlignment="1">
      <alignment horizontal="left"/>
    </xf>
    <xf numFmtId="1" fontId="89" fillId="0" borderId="18" xfId="0" applyNumberFormat="1" applyFont="1" applyBorder="1" applyAlignment="1">
      <alignment horizontal="left"/>
    </xf>
    <xf numFmtId="1" fontId="90" fillId="0" borderId="14" xfId="44" applyNumberFormat="1" applyFont="1" applyBorder="1" applyAlignment="1">
      <alignment horizontal="left"/>
    </xf>
    <xf numFmtId="1" fontId="90" fillId="0" borderId="10" xfId="44" applyNumberFormat="1" applyFont="1" applyBorder="1" applyAlignment="1">
      <alignment horizontal="left"/>
    </xf>
    <xf numFmtId="1" fontId="90" fillId="0" borderId="14" xfId="42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left"/>
    </xf>
    <xf numFmtId="1" fontId="89" fillId="0" borderId="10" xfId="0" applyNumberFormat="1" applyFont="1" applyFill="1" applyBorder="1" applyAlignment="1">
      <alignment horizontal="left"/>
    </xf>
    <xf numFmtId="1" fontId="89" fillId="0" borderId="43" xfId="0" applyNumberFormat="1" applyFont="1" applyBorder="1" applyAlignment="1">
      <alignment horizontal="left"/>
    </xf>
    <xf numFmtId="1" fontId="89" fillId="0" borderId="13" xfId="0" applyNumberFormat="1" applyFont="1" applyBorder="1" applyAlignment="1">
      <alignment horizontal="left"/>
    </xf>
    <xf numFmtId="1" fontId="89" fillId="0" borderId="21" xfId="0" applyNumberFormat="1" applyFont="1" applyBorder="1" applyAlignment="1">
      <alignment horizontal="left"/>
    </xf>
    <xf numFmtId="1" fontId="89" fillId="0" borderId="22" xfId="0" applyNumberFormat="1" applyFont="1" applyBorder="1" applyAlignment="1">
      <alignment horizontal="left"/>
    </xf>
    <xf numFmtId="1" fontId="89" fillId="0" borderId="21" xfId="0" applyNumberFormat="1" applyFont="1" applyFill="1" applyBorder="1" applyAlignment="1">
      <alignment horizontal="left"/>
    </xf>
    <xf numFmtId="0" fontId="118" fillId="0" borderId="40" xfId="0" applyFont="1" applyBorder="1" applyAlignment="1">
      <alignment horizontal="left"/>
    </xf>
    <xf numFmtId="1" fontId="113" fillId="0" borderId="11" xfId="0" applyNumberFormat="1" applyFont="1" applyBorder="1" applyAlignment="1">
      <alignment horizontal="left"/>
    </xf>
    <xf numFmtId="1" fontId="113" fillId="0" borderId="12" xfId="0" applyNumberFormat="1" applyFont="1" applyBorder="1" applyAlignment="1">
      <alignment horizontal="left"/>
    </xf>
    <xf numFmtId="1" fontId="113" fillId="0" borderId="10" xfId="0" applyNumberFormat="1" applyFont="1" applyBorder="1" applyAlignment="1">
      <alignment horizontal="left"/>
    </xf>
    <xf numFmtId="1" fontId="113" fillId="0" borderId="14" xfId="0" applyNumberFormat="1" applyFont="1" applyBorder="1" applyAlignment="1">
      <alignment horizontal="left"/>
    </xf>
    <xf numFmtId="1" fontId="117" fillId="0" borderId="12" xfId="0" applyNumberFormat="1" applyFont="1" applyBorder="1" applyAlignment="1">
      <alignment horizontal="left"/>
    </xf>
    <xf numFmtId="1" fontId="117" fillId="0" borderId="10" xfId="0" applyNumberFormat="1" applyFont="1" applyBorder="1" applyAlignment="1">
      <alignment horizontal="left"/>
    </xf>
    <xf numFmtId="1" fontId="117" fillId="0" borderId="11" xfId="0" applyNumberFormat="1" applyFont="1" applyBorder="1" applyAlignment="1">
      <alignment horizontal="left"/>
    </xf>
    <xf numFmtId="3" fontId="95" fillId="0" borderId="37" xfId="0" applyNumberFormat="1" applyFont="1" applyBorder="1" applyAlignment="1">
      <alignment horizontal="left"/>
    </xf>
    <xf numFmtId="3" fontId="95" fillId="0" borderId="61" xfId="0" applyNumberFormat="1" applyFont="1" applyBorder="1" applyAlignment="1">
      <alignment horizontal="left"/>
    </xf>
    <xf numFmtId="0" fontId="93" fillId="0" borderId="53" xfId="0" applyFont="1" applyBorder="1" applyAlignment="1">
      <alignment horizontal="left" vertical="center" wrapText="1"/>
    </xf>
    <xf numFmtId="1" fontId="93" fillId="0" borderId="80" xfId="0" applyNumberFormat="1" applyFont="1" applyBorder="1" applyAlignment="1">
      <alignment horizontal="left" vertical="center" wrapText="1"/>
    </xf>
    <xf numFmtId="0" fontId="95" fillId="0" borderId="73" xfId="0" applyFont="1" applyBorder="1" applyAlignment="1">
      <alignment horizontal="left"/>
    </xf>
    <xf numFmtId="0" fontId="112" fillId="0" borderId="25" xfId="0" applyFont="1" applyBorder="1" applyAlignment="1">
      <alignment horizontal="left"/>
    </xf>
    <xf numFmtId="0" fontId="95" fillId="0" borderId="63" xfId="0" applyFont="1" applyBorder="1" applyAlignment="1">
      <alignment horizontal="left"/>
    </xf>
    <xf numFmtId="1" fontId="93" fillId="0" borderId="53" xfId="0" applyNumberFormat="1" applyFont="1" applyBorder="1" applyAlignment="1">
      <alignment horizontal="left" vertical="center" wrapText="1"/>
    </xf>
    <xf numFmtId="1" fontId="93" fillId="0" borderId="80" xfId="0" applyNumberFormat="1" applyFont="1" applyFill="1" applyBorder="1" applyAlignment="1">
      <alignment horizontal="left" vertical="center" wrapText="1"/>
    </xf>
    <xf numFmtId="1" fontId="93" fillId="0" borderId="77" xfId="0" applyNumberFormat="1" applyFont="1" applyBorder="1" applyAlignment="1">
      <alignment horizontal="left" vertical="center" wrapText="1"/>
    </xf>
    <xf numFmtId="1" fontId="93" fillId="0" borderId="77" xfId="0" applyNumberFormat="1" applyFont="1" applyBorder="1" applyAlignment="1">
      <alignment horizontal="left" vertical="justify" wrapText="1"/>
    </xf>
    <xf numFmtId="0" fontId="96" fillId="0" borderId="77" xfId="0" applyFont="1" applyBorder="1" applyAlignment="1">
      <alignment horizontal="left"/>
    </xf>
    <xf numFmtId="0" fontId="89" fillId="0" borderId="80" xfId="0" applyFont="1" applyBorder="1" applyAlignment="1">
      <alignment/>
    </xf>
    <xf numFmtId="0" fontId="89" fillId="0" borderId="63" xfId="0" applyFont="1" applyBorder="1" applyAlignment="1">
      <alignment/>
    </xf>
    <xf numFmtId="1" fontId="93" fillId="0" borderId="53" xfId="0" applyNumberFormat="1" applyFont="1" applyFill="1" applyBorder="1" applyAlignment="1">
      <alignment horizontal="center" vertical="justify" wrapText="1"/>
    </xf>
    <xf numFmtId="0" fontId="89" fillId="0" borderId="37" xfId="0" applyFont="1" applyBorder="1" applyAlignment="1">
      <alignment/>
    </xf>
    <xf numFmtId="0" fontId="89" fillId="0" borderId="20" xfId="0" applyFont="1" applyBorder="1" applyAlignment="1">
      <alignment/>
    </xf>
    <xf numFmtId="0" fontId="89" fillId="0" borderId="73" xfId="0" applyFont="1" applyBorder="1" applyAlignment="1">
      <alignment/>
    </xf>
    <xf numFmtId="0" fontId="89" fillId="0" borderId="23" xfId="0" applyFont="1" applyBorder="1" applyAlignment="1">
      <alignment/>
    </xf>
    <xf numFmtId="2" fontId="84" fillId="0" borderId="37" xfId="0" applyNumberFormat="1" applyFont="1" applyBorder="1" applyAlignment="1">
      <alignment horizontal="left" vertical="center"/>
    </xf>
    <xf numFmtId="2" fontId="102" fillId="0" borderId="37" xfId="0" applyNumberFormat="1" applyFont="1" applyBorder="1" applyAlignment="1">
      <alignment horizontal="left" vertical="center"/>
    </xf>
    <xf numFmtId="2" fontId="102" fillId="0" borderId="86" xfId="0" applyNumberFormat="1" applyFont="1" applyBorder="1" applyAlignment="1">
      <alignment horizontal="left" vertical="center"/>
    </xf>
    <xf numFmtId="2" fontId="102" fillId="0" borderId="61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/>
    </xf>
    <xf numFmtId="2" fontId="84" fillId="0" borderId="10" xfId="44" applyNumberFormat="1" applyFont="1" applyBorder="1" applyAlignment="1">
      <alignment horizontal="left"/>
    </xf>
    <xf numFmtId="2" fontId="85" fillId="0" borderId="39" xfId="0" applyNumberFormat="1" applyFont="1" applyBorder="1" applyAlignment="1">
      <alignment horizontal="left"/>
    </xf>
    <xf numFmtId="2" fontId="85" fillId="0" borderId="32" xfId="0" applyNumberFormat="1" applyFont="1" applyBorder="1" applyAlignment="1">
      <alignment horizontal="left"/>
    </xf>
    <xf numFmtId="2" fontId="84" fillId="0" borderId="50" xfId="0" applyNumberFormat="1" applyFont="1" applyBorder="1" applyAlignment="1">
      <alignment horizontal="left"/>
    </xf>
    <xf numFmtId="2" fontId="85" fillId="0" borderId="38" xfId="44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90" fillId="0" borderId="39" xfId="42" applyNumberFormat="1" applyFont="1" applyBorder="1" applyAlignment="1">
      <alignment horizontal="left"/>
    </xf>
    <xf numFmtId="2" fontId="90" fillId="0" borderId="15" xfId="42" applyNumberFormat="1" applyFont="1" applyBorder="1" applyAlignment="1">
      <alignment horizontal="left"/>
    </xf>
    <xf numFmtId="2" fontId="90" fillId="0" borderId="32" xfId="42" applyNumberFormat="1" applyFont="1" applyBorder="1" applyAlignment="1">
      <alignment horizontal="left"/>
    </xf>
    <xf numFmtId="2" fontId="90" fillId="0" borderId="50" xfId="42" applyNumberFormat="1" applyFont="1" applyBorder="1" applyAlignment="1">
      <alignment horizontal="left"/>
    </xf>
    <xf numFmtId="1" fontId="85" fillId="0" borderId="29" xfId="0" applyNumberFormat="1" applyFont="1" applyBorder="1" applyAlignment="1">
      <alignment horizontal="left" vertical="center"/>
    </xf>
    <xf numFmtId="1" fontId="85" fillId="0" borderId="28" xfId="0" applyNumberFormat="1" applyFont="1" applyBorder="1" applyAlignment="1">
      <alignment horizontal="left" vertical="center"/>
    </xf>
    <xf numFmtId="1" fontId="85" fillId="0" borderId="29" xfId="0" applyNumberFormat="1" applyFont="1" applyBorder="1" applyAlignment="1">
      <alignment horizontal="left"/>
    </xf>
    <xf numFmtId="1" fontId="85" fillId="0" borderId="28" xfId="0" applyNumberFormat="1" applyFont="1" applyBorder="1" applyAlignment="1">
      <alignment horizontal="left"/>
    </xf>
    <xf numFmtId="1" fontId="85" fillId="0" borderId="32" xfId="0" applyNumberFormat="1" applyFont="1" applyBorder="1" applyAlignment="1">
      <alignment horizontal="left"/>
    </xf>
    <xf numFmtId="3" fontId="87" fillId="0" borderId="29" xfId="0" applyNumberFormat="1" applyFont="1" applyBorder="1" applyAlignment="1">
      <alignment horizontal="left"/>
    </xf>
    <xf numFmtId="3" fontId="87" fillId="0" borderId="28" xfId="0" applyNumberFormat="1" applyFont="1" applyBorder="1" applyAlignment="1">
      <alignment horizontal="left"/>
    </xf>
    <xf numFmtId="1" fontId="85" fillId="0" borderId="29" xfId="0" applyNumberFormat="1" applyFont="1" applyFill="1" applyBorder="1" applyAlignment="1">
      <alignment horizontal="left"/>
    </xf>
    <xf numFmtId="1" fontId="85" fillId="0" borderId="28" xfId="0" applyNumberFormat="1" applyFont="1" applyFill="1" applyBorder="1" applyAlignment="1">
      <alignment horizontal="left"/>
    </xf>
    <xf numFmtId="1" fontId="85" fillId="0" borderId="29" xfId="42" applyNumberFormat="1" applyFont="1" applyBorder="1" applyAlignment="1">
      <alignment horizontal="left"/>
    </xf>
    <xf numFmtId="1" fontId="85" fillId="0" borderId="28" xfId="42" applyNumberFormat="1" applyFont="1" applyBorder="1" applyAlignment="1">
      <alignment horizontal="left"/>
    </xf>
    <xf numFmtId="1" fontId="84" fillId="0" borderId="70" xfId="0" applyNumberFormat="1" applyFont="1" applyBorder="1" applyAlignment="1">
      <alignment horizontal="left"/>
    </xf>
    <xf numFmtId="1" fontId="84" fillId="0" borderId="71" xfId="0" applyNumberFormat="1" applyFont="1" applyBorder="1" applyAlignment="1">
      <alignment horizontal="left"/>
    </xf>
    <xf numFmtId="1" fontId="84" fillId="0" borderId="72" xfId="0" applyNumberFormat="1" applyFont="1" applyBorder="1" applyAlignment="1">
      <alignment horizontal="left"/>
    </xf>
    <xf numFmtId="1" fontId="84" fillId="0" borderId="27" xfId="0" applyNumberFormat="1" applyFont="1" applyBorder="1" applyAlignment="1">
      <alignment horizontal="left"/>
    </xf>
    <xf numFmtId="1" fontId="102" fillId="0" borderId="79" xfId="0" applyNumberFormat="1" applyFont="1" applyBorder="1" applyAlignment="1">
      <alignment horizontal="left" vertical="center"/>
    </xf>
    <xf numFmtId="1" fontId="102" fillId="0" borderId="74" xfId="0" applyNumberFormat="1" applyFont="1" applyBorder="1" applyAlignment="1">
      <alignment horizontal="left" vertical="center"/>
    </xf>
    <xf numFmtId="1" fontId="102" fillId="0" borderId="83" xfId="0" applyNumberFormat="1" applyFont="1" applyBorder="1" applyAlignment="1">
      <alignment horizontal="left" vertical="center"/>
    </xf>
    <xf numFmtId="1" fontId="102" fillId="0" borderId="84" xfId="0" applyNumberFormat="1" applyFont="1" applyBorder="1" applyAlignment="1">
      <alignment horizontal="left" vertical="center"/>
    </xf>
    <xf numFmtId="1" fontId="102" fillId="0" borderId="78" xfId="0" applyNumberFormat="1" applyFont="1" applyBorder="1" applyAlignment="1">
      <alignment horizontal="left" vertical="center"/>
    </xf>
    <xf numFmtId="1" fontId="102" fillId="0" borderId="77" xfId="0" applyNumberFormat="1" applyFont="1" applyBorder="1" applyAlignment="1">
      <alignment horizontal="left" vertical="center"/>
    </xf>
    <xf numFmtId="1" fontId="102" fillId="0" borderId="83" xfId="0" applyNumberFormat="1" applyFont="1" applyBorder="1" applyAlignment="1">
      <alignment horizontal="left"/>
    </xf>
    <xf numFmtId="1" fontId="102" fillId="0" borderId="84" xfId="0" applyNumberFormat="1" applyFont="1" applyBorder="1" applyAlignment="1">
      <alignment horizontal="left"/>
    </xf>
    <xf numFmtId="1" fontId="103" fillId="0" borderId="78" xfId="42" applyNumberFormat="1" applyFont="1" applyBorder="1" applyAlignment="1">
      <alignment horizontal="left"/>
    </xf>
    <xf numFmtId="1" fontId="103" fillId="0" borderId="76" xfId="42" applyNumberFormat="1" applyFont="1" applyBorder="1" applyAlignment="1">
      <alignment horizontal="left"/>
    </xf>
    <xf numFmtId="1" fontId="102" fillId="0" borderId="78" xfId="0" applyNumberFormat="1" applyFont="1" applyBorder="1" applyAlignment="1">
      <alignment horizontal="left"/>
    </xf>
    <xf numFmtId="1" fontId="102" fillId="0" borderId="76" xfId="0" applyNumberFormat="1" applyFont="1" applyBorder="1" applyAlignment="1">
      <alignment horizontal="left"/>
    </xf>
    <xf numFmtId="1" fontId="94" fillId="0" borderId="14" xfId="0" applyNumberFormat="1" applyFont="1" applyBorder="1" applyAlignment="1">
      <alignment horizontal="center" vertical="justify" wrapText="1"/>
    </xf>
    <xf numFmtId="1" fontId="85" fillId="0" borderId="14" xfId="0" applyNumberFormat="1" applyFont="1" applyBorder="1" applyAlignment="1">
      <alignment horizontal="center" vertical="justify" wrapText="1"/>
    </xf>
    <xf numFmtId="1" fontId="85" fillId="0" borderId="22" xfId="0" applyNumberFormat="1" applyFont="1" applyBorder="1" applyAlignment="1">
      <alignment horizontal="center" vertical="justify" wrapText="1"/>
    </xf>
    <xf numFmtId="1" fontId="87" fillId="0" borderId="42" xfId="0" applyNumberFormat="1" applyFont="1" applyFill="1" applyBorder="1" applyAlignment="1">
      <alignment horizontal="left" vertical="top" wrapText="1"/>
    </xf>
    <xf numFmtId="1" fontId="84" fillId="0" borderId="31" xfId="0" applyNumberFormat="1" applyFont="1" applyBorder="1" applyAlignment="1">
      <alignment horizontal="left" vertical="center"/>
    </xf>
    <xf numFmtId="1" fontId="84" fillId="0" borderId="80" xfId="0" applyNumberFormat="1" applyFont="1" applyBorder="1" applyAlignment="1">
      <alignment horizontal="left" vertical="center"/>
    </xf>
    <xf numFmtId="1" fontId="84" fillId="0" borderId="33" xfId="0" applyNumberFormat="1" applyFont="1" applyBorder="1" applyAlignment="1">
      <alignment horizontal="left" vertical="center"/>
    </xf>
    <xf numFmtId="1" fontId="84" fillId="0" borderId="30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1" fontId="5" fillId="0" borderId="29" xfId="44" applyNumberFormat="1" applyFont="1" applyBorder="1" applyAlignment="1">
      <alignment horizontal="left"/>
    </xf>
    <xf numFmtId="1" fontId="5" fillId="0" borderId="28" xfId="44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left"/>
    </xf>
    <xf numFmtId="1" fontId="85" fillId="0" borderId="29" xfId="0" applyNumberFormat="1" applyFont="1" applyFill="1" applyBorder="1" applyAlignment="1">
      <alignment horizontal="left" vertical="top" wrapText="1"/>
    </xf>
    <xf numFmtId="1" fontId="85" fillId="0" borderId="28" xfId="0" applyNumberFormat="1" applyFont="1" applyFill="1" applyBorder="1" applyAlignment="1">
      <alignment horizontal="left" vertical="top" wrapText="1"/>
    </xf>
    <xf numFmtId="1" fontId="5" fillId="0" borderId="32" xfId="0" applyNumberFormat="1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left"/>
    </xf>
    <xf numFmtId="1" fontId="5" fillId="0" borderId="29" xfId="42" applyNumberFormat="1" applyFont="1" applyBorder="1" applyAlignment="1">
      <alignment horizontal="left"/>
    </xf>
    <xf numFmtId="1" fontId="5" fillId="0" borderId="28" xfId="42" applyNumberFormat="1" applyFont="1" applyBorder="1" applyAlignment="1">
      <alignment horizontal="left"/>
    </xf>
    <xf numFmtId="1" fontId="84" fillId="0" borderId="30" xfId="0" applyNumberFormat="1" applyFont="1" applyBorder="1" applyAlignment="1">
      <alignment horizontal="left" vertical="center"/>
    </xf>
    <xf numFmtId="1" fontId="84" fillId="0" borderId="42" xfId="0" applyNumberFormat="1" applyFont="1" applyBorder="1" applyAlignment="1">
      <alignment horizontal="left" vertical="center"/>
    </xf>
    <xf numFmtId="1" fontId="93" fillId="0" borderId="67" xfId="0" applyNumberFormat="1" applyFont="1" applyFill="1" applyBorder="1" applyAlignment="1">
      <alignment horizontal="center" vertical="center" wrapText="1"/>
    </xf>
    <xf numFmtId="0" fontId="119" fillId="0" borderId="40" xfId="0" applyFont="1" applyBorder="1" applyAlignment="1">
      <alignment/>
    </xf>
    <xf numFmtId="2" fontId="91" fillId="0" borderId="26" xfId="44" applyNumberFormat="1" applyFont="1" applyBorder="1" applyAlignment="1">
      <alignment horizontal="right"/>
    </xf>
    <xf numFmtId="2" fontId="91" fillId="0" borderId="26" xfId="0" applyNumberFormat="1" applyFont="1" applyBorder="1" applyAlignment="1">
      <alignment horizontal="right" wrapText="1"/>
    </xf>
    <xf numFmtId="2" fontId="91" fillId="0" borderId="26" xfId="0" applyNumberFormat="1" applyFont="1" applyFill="1" applyBorder="1" applyAlignment="1">
      <alignment horizontal="right"/>
    </xf>
    <xf numFmtId="2" fontId="91" fillId="0" borderId="26" xfId="42" applyNumberFormat="1" applyFont="1" applyBorder="1" applyAlignment="1">
      <alignment horizontal="right"/>
    </xf>
    <xf numFmtId="0" fontId="119" fillId="0" borderId="0" xfId="0" applyFont="1" applyAlignment="1">
      <alignment/>
    </xf>
    <xf numFmtId="1" fontId="113" fillId="0" borderId="0" xfId="0" applyNumberFormat="1" applyFont="1" applyAlignment="1">
      <alignment horizontal="left"/>
    </xf>
    <xf numFmtId="1" fontId="90" fillId="0" borderId="38" xfId="44" applyNumberFormat="1" applyFont="1" applyBorder="1" applyAlignment="1">
      <alignment horizontal="left"/>
    </xf>
    <xf numFmtId="1" fontId="90" fillId="0" borderId="38" xfId="0" applyNumberFormat="1" applyFont="1" applyBorder="1" applyAlignment="1">
      <alignment horizontal="left" wrapText="1"/>
    </xf>
    <xf numFmtId="1" fontId="90" fillId="0" borderId="38" xfId="0" applyNumberFormat="1" applyFont="1" applyFill="1" applyBorder="1" applyAlignment="1">
      <alignment horizontal="left"/>
    </xf>
    <xf numFmtId="1" fontId="90" fillId="0" borderId="38" xfId="42" applyNumberFormat="1" applyFont="1" applyBorder="1" applyAlignment="1">
      <alignment horizontal="left"/>
    </xf>
    <xf numFmtId="1" fontId="90" fillId="0" borderId="39" xfId="42" applyNumberFormat="1" applyFont="1" applyBorder="1" applyAlignment="1">
      <alignment horizontal="left"/>
    </xf>
    <xf numFmtId="1" fontId="90" fillId="0" borderId="39" xfId="0" applyNumberFormat="1" applyFont="1" applyBorder="1" applyAlignment="1">
      <alignment horizontal="left"/>
    </xf>
    <xf numFmtId="1" fontId="90" fillId="0" borderId="11" xfId="0" applyNumberFormat="1" applyFont="1" applyBorder="1" applyAlignment="1">
      <alignment horizontal="left" wrapText="1"/>
    </xf>
    <xf numFmtId="1" fontId="90" fillId="0" borderId="11" xfId="0" applyNumberFormat="1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90" fillId="0" borderId="22" xfId="0" applyNumberFormat="1" applyFont="1" applyBorder="1" applyAlignment="1">
      <alignment horizontal="left"/>
    </xf>
    <xf numFmtId="1" fontId="90" fillId="0" borderId="13" xfId="0" applyNumberFormat="1" applyFont="1" applyBorder="1" applyAlignment="1">
      <alignment horizontal="left"/>
    </xf>
    <xf numFmtId="1" fontId="90" fillId="0" borderId="21" xfId="0" applyNumberFormat="1" applyFont="1" applyBorder="1" applyAlignment="1">
      <alignment horizontal="left"/>
    </xf>
    <xf numFmtId="1" fontId="90" fillId="0" borderId="43" xfId="0" applyNumberFormat="1" applyFont="1" applyBorder="1" applyAlignment="1">
      <alignment horizontal="left"/>
    </xf>
    <xf numFmtId="1" fontId="90" fillId="0" borderId="43" xfId="44" applyNumberFormat="1" applyFont="1" applyBorder="1" applyAlignment="1">
      <alignment horizontal="left"/>
    </xf>
    <xf numFmtId="1" fontId="90" fillId="0" borderId="13" xfId="44" applyNumberFormat="1" applyFont="1" applyBorder="1" applyAlignment="1">
      <alignment horizontal="left"/>
    </xf>
    <xf numFmtId="1" fontId="90" fillId="0" borderId="21" xfId="44" applyNumberFormat="1" applyFont="1" applyBorder="1" applyAlignment="1">
      <alignment horizontal="left"/>
    </xf>
    <xf numFmtId="1" fontId="90" fillId="0" borderId="43" xfId="0" applyNumberFormat="1" applyFont="1" applyBorder="1" applyAlignment="1">
      <alignment horizontal="left" wrapText="1"/>
    </xf>
    <xf numFmtId="1" fontId="90" fillId="0" borderId="43" xfId="0" applyNumberFormat="1" applyFont="1" applyFill="1" applyBorder="1" applyAlignment="1">
      <alignment horizontal="left"/>
    </xf>
    <xf numFmtId="1" fontId="90" fillId="0" borderId="13" xfId="0" applyNumberFormat="1" applyFont="1" applyFill="1" applyBorder="1" applyAlignment="1">
      <alignment horizontal="left"/>
    </xf>
    <xf numFmtId="1" fontId="90" fillId="0" borderId="21" xfId="0" applyNumberFormat="1" applyFont="1" applyFill="1" applyBorder="1" applyAlignment="1">
      <alignment horizontal="left"/>
    </xf>
    <xf numFmtId="1" fontId="90" fillId="0" borderId="43" xfId="42" applyNumberFormat="1" applyFont="1" applyBorder="1" applyAlignment="1">
      <alignment horizontal="left"/>
    </xf>
    <xf numFmtId="1" fontId="90" fillId="0" borderId="13" xfId="42" applyNumberFormat="1" applyFont="1" applyBorder="1" applyAlignment="1">
      <alignment horizontal="left"/>
    </xf>
    <xf numFmtId="1" fontId="90" fillId="0" borderId="60" xfId="42" applyNumberFormat="1" applyFont="1" applyBorder="1" applyAlignment="1">
      <alignment horizontal="left"/>
    </xf>
    <xf numFmtId="1" fontId="90" fillId="0" borderId="60" xfId="0" applyNumberFormat="1" applyFont="1" applyBorder="1" applyAlignment="1">
      <alignment horizontal="left"/>
    </xf>
    <xf numFmtId="1" fontId="112" fillId="0" borderId="21" xfId="0" applyNumberFormat="1" applyFont="1" applyBorder="1" applyAlignment="1">
      <alignment horizontal="left"/>
    </xf>
    <xf numFmtId="3" fontId="112" fillId="0" borderId="21" xfId="0" applyNumberFormat="1" applyFont="1" applyBorder="1" applyAlignment="1">
      <alignment horizontal="left"/>
    </xf>
    <xf numFmtId="1" fontId="111" fillId="0" borderId="10" xfId="0" applyNumberFormat="1" applyFont="1" applyBorder="1" applyAlignment="1">
      <alignment horizontal="left"/>
    </xf>
    <xf numFmtId="3" fontId="94" fillId="0" borderId="14" xfId="0" applyNumberFormat="1" applyFont="1" applyBorder="1" applyAlignment="1">
      <alignment horizontal="left"/>
    </xf>
    <xf numFmtId="3" fontId="94" fillId="0" borderId="12" xfId="0" applyNumberFormat="1" applyFont="1" applyBorder="1" applyAlignment="1">
      <alignment horizontal="left"/>
    </xf>
    <xf numFmtId="3" fontId="94" fillId="0" borderId="10" xfId="0" applyNumberFormat="1" applyFont="1" applyBorder="1" applyAlignment="1">
      <alignment horizontal="left"/>
    </xf>
    <xf numFmtId="1" fontId="85" fillId="0" borderId="22" xfId="0" applyNumberFormat="1" applyFont="1" applyBorder="1" applyAlignment="1">
      <alignment horizontal="left"/>
    </xf>
    <xf numFmtId="1" fontId="112" fillId="0" borderId="60" xfId="0" applyNumberFormat="1" applyFont="1" applyBorder="1" applyAlignment="1">
      <alignment horizontal="left" vertical="justify" wrapText="1"/>
    </xf>
    <xf numFmtId="1" fontId="90" fillId="0" borderId="40" xfId="0" applyNumberFormat="1" applyFont="1" applyBorder="1" applyAlignment="1">
      <alignment horizontal="left" vertical="center"/>
    </xf>
    <xf numFmtId="1" fontId="89" fillId="0" borderId="15" xfId="0" applyNumberFormat="1" applyFont="1" applyBorder="1" applyAlignment="1">
      <alignment horizontal="left"/>
    </xf>
    <xf numFmtId="1" fontId="113" fillId="0" borderId="15" xfId="0" applyNumberFormat="1" applyFont="1" applyBorder="1" applyAlignment="1">
      <alignment horizontal="left"/>
    </xf>
    <xf numFmtId="1" fontId="89" fillId="0" borderId="60" xfId="0" applyNumberFormat="1" applyFont="1" applyBorder="1" applyAlignment="1">
      <alignment horizontal="left"/>
    </xf>
    <xf numFmtId="1" fontId="90" fillId="0" borderId="24" xfId="0" applyNumberFormat="1" applyFont="1" applyBorder="1" applyAlignment="1">
      <alignment horizontal="left" vertical="center"/>
    </xf>
    <xf numFmtId="0" fontId="91" fillId="0" borderId="87" xfId="0" applyFont="1" applyBorder="1" applyAlignment="1">
      <alignment horizontal="center" vertical="center"/>
    </xf>
    <xf numFmtId="1" fontId="93" fillId="0" borderId="67" xfId="0" applyNumberFormat="1" applyFont="1" applyFill="1" applyBorder="1" applyAlignment="1">
      <alignment horizontal="center" vertical="center" wrapText="1"/>
    </xf>
    <xf numFmtId="2" fontId="84" fillId="0" borderId="0" xfId="0" applyNumberFormat="1" applyFont="1" applyFill="1" applyBorder="1" applyAlignment="1">
      <alignment/>
    </xf>
    <xf numFmtId="2" fontId="88" fillId="0" borderId="0" xfId="0" applyNumberFormat="1" applyFont="1" applyBorder="1" applyAlignment="1">
      <alignment/>
    </xf>
    <xf numFmtId="2" fontId="110" fillId="0" borderId="75" xfId="0" applyNumberFormat="1" applyFont="1" applyBorder="1" applyAlignment="1">
      <alignment horizontal="center" vertical="justify" wrapText="1"/>
    </xf>
    <xf numFmtId="2" fontId="84" fillId="0" borderId="62" xfId="0" applyNumberFormat="1" applyFont="1" applyBorder="1" applyAlignment="1">
      <alignment horizontal="center" vertical="center"/>
    </xf>
    <xf numFmtId="2" fontId="85" fillId="0" borderId="0" xfId="0" applyNumberFormat="1" applyFont="1" applyAlignment="1">
      <alignment horizontal="center"/>
    </xf>
    <xf numFmtId="0" fontId="92" fillId="0" borderId="41" xfId="0" applyFont="1" applyBorder="1" applyAlignment="1">
      <alignment horizontal="left"/>
    </xf>
    <xf numFmtId="0" fontId="89" fillId="0" borderId="41" xfId="0" applyFont="1" applyBorder="1" applyAlignment="1">
      <alignment/>
    </xf>
    <xf numFmtId="2" fontId="90" fillId="0" borderId="42" xfId="0" applyNumberFormat="1" applyFont="1" applyBorder="1" applyAlignment="1">
      <alignment vertical="center"/>
    </xf>
    <xf numFmtId="2" fontId="90" fillId="0" borderId="33" xfId="0" applyNumberFormat="1" applyFont="1" applyBorder="1" applyAlignment="1">
      <alignment horizontal="right"/>
    </xf>
    <xf numFmtId="2" fontId="90" fillId="0" borderId="42" xfId="0" applyNumberFormat="1" applyFont="1" applyBorder="1" applyAlignment="1">
      <alignment horizontal="right"/>
    </xf>
    <xf numFmtId="2" fontId="85" fillId="0" borderId="33" xfId="0" applyNumberFormat="1" applyFont="1" applyBorder="1" applyAlignment="1">
      <alignment horizontal="right"/>
    </xf>
    <xf numFmtId="2" fontId="95" fillId="0" borderId="33" xfId="0" applyNumberFormat="1" applyFont="1" applyBorder="1" applyAlignment="1">
      <alignment horizontal="left"/>
    </xf>
    <xf numFmtId="2" fontId="90" fillId="0" borderId="33" xfId="42" applyNumberFormat="1" applyFont="1" applyBorder="1" applyAlignment="1">
      <alignment horizontal="right"/>
    </xf>
    <xf numFmtId="2" fontId="90" fillId="0" borderId="33" xfId="0" applyNumberFormat="1" applyFont="1" applyBorder="1" applyAlignment="1">
      <alignment horizontal="right" wrapText="1"/>
    </xf>
    <xf numFmtId="3" fontId="92" fillId="0" borderId="33" xfId="0" applyNumberFormat="1" applyFont="1" applyBorder="1" applyAlignment="1">
      <alignment horizontal="right"/>
    </xf>
    <xf numFmtId="2" fontId="90" fillId="0" borderId="33" xfId="0" applyNumberFormat="1" applyFont="1" applyFill="1" applyBorder="1" applyAlignment="1">
      <alignment horizontal="right"/>
    </xf>
    <xf numFmtId="2" fontId="91" fillId="0" borderId="33" xfId="0" applyNumberFormat="1" applyFont="1" applyBorder="1" applyAlignment="1">
      <alignment horizontal="right"/>
    </xf>
    <xf numFmtId="0" fontId="96" fillId="0" borderId="74" xfId="0" applyFont="1" applyBorder="1" applyAlignment="1">
      <alignment horizontal="left"/>
    </xf>
    <xf numFmtId="0" fontId="119" fillId="0" borderId="74" xfId="0" applyFont="1" applyBorder="1" applyAlignment="1">
      <alignment/>
    </xf>
    <xf numFmtId="2" fontId="91" fillId="0" borderId="77" xfId="0" applyNumberFormat="1" applyFont="1" applyBorder="1" applyAlignment="1">
      <alignment vertical="center"/>
    </xf>
    <xf numFmtId="2" fontId="91" fillId="0" borderId="76" xfId="0" applyNumberFormat="1" applyFont="1" applyBorder="1" applyAlignment="1">
      <alignment horizontal="right"/>
    </xf>
    <xf numFmtId="2" fontId="91" fillId="0" borderId="77" xfId="0" applyNumberFormat="1" applyFont="1" applyBorder="1" applyAlignment="1">
      <alignment horizontal="right"/>
    </xf>
    <xf numFmtId="2" fontId="84" fillId="0" borderId="76" xfId="0" applyNumberFormat="1" applyFont="1" applyBorder="1" applyAlignment="1">
      <alignment horizontal="right"/>
    </xf>
    <xf numFmtId="2" fontId="93" fillId="0" borderId="76" xfId="0" applyNumberFormat="1" applyFont="1" applyBorder="1" applyAlignment="1">
      <alignment horizontal="left"/>
    </xf>
    <xf numFmtId="2" fontId="91" fillId="0" borderId="76" xfId="42" applyNumberFormat="1" applyFont="1" applyBorder="1" applyAlignment="1">
      <alignment horizontal="right"/>
    </xf>
    <xf numFmtId="2" fontId="91" fillId="0" borderId="76" xfId="0" applyNumberFormat="1" applyFont="1" applyBorder="1" applyAlignment="1">
      <alignment horizontal="right" wrapText="1"/>
    </xf>
    <xf numFmtId="3" fontId="96" fillId="0" borderId="76" xfId="0" applyNumberFormat="1" applyFont="1" applyBorder="1" applyAlignment="1">
      <alignment horizontal="right"/>
    </xf>
    <xf numFmtId="2" fontId="91" fillId="0" borderId="76" xfId="0" applyNumberFormat="1" applyFont="1" applyFill="1" applyBorder="1" applyAlignment="1">
      <alignment horizontal="right"/>
    </xf>
    <xf numFmtId="0" fontId="117" fillId="0" borderId="74" xfId="0" applyFont="1" applyBorder="1" applyAlignment="1">
      <alignment horizontal="center" vertical="center"/>
    </xf>
    <xf numFmtId="2" fontId="85" fillId="0" borderId="57" xfId="0" applyNumberFormat="1" applyFont="1" applyBorder="1" applyAlignment="1">
      <alignment horizontal="left"/>
    </xf>
    <xf numFmtId="1" fontId="84" fillId="0" borderId="60" xfId="0" applyNumberFormat="1" applyFont="1" applyBorder="1" applyAlignment="1">
      <alignment horizontal="left"/>
    </xf>
    <xf numFmtId="1" fontId="91" fillId="0" borderId="38" xfId="0" applyNumberFormat="1" applyFont="1" applyBorder="1" applyAlignment="1">
      <alignment horizontal="left" vertical="center"/>
    </xf>
    <xf numFmtId="1" fontId="91" fillId="0" borderId="16" xfId="0" applyNumberFormat="1" applyFont="1" applyBorder="1" applyAlignment="1">
      <alignment horizontal="left" vertical="center"/>
    </xf>
    <xf numFmtId="1" fontId="91" fillId="0" borderId="18" xfId="0" applyNumberFormat="1" applyFont="1" applyBorder="1" applyAlignment="1">
      <alignment horizontal="left" vertical="center"/>
    </xf>
    <xf numFmtId="1" fontId="91" fillId="0" borderId="19" xfId="0" applyNumberFormat="1" applyFont="1" applyBorder="1" applyAlignment="1">
      <alignment horizontal="left" vertical="center"/>
    </xf>
    <xf numFmtId="1" fontId="91" fillId="0" borderId="39" xfId="0" applyNumberFormat="1" applyFont="1" applyBorder="1" applyAlignment="1">
      <alignment horizontal="left" vertical="center"/>
    </xf>
    <xf numFmtId="1" fontId="91" fillId="0" borderId="65" xfId="0" applyNumberFormat="1" applyFont="1" applyBorder="1" applyAlignment="1">
      <alignment horizontal="left" vertical="center"/>
    </xf>
    <xf numFmtId="1" fontId="91" fillId="0" borderId="37" xfId="0" applyNumberFormat="1" applyFont="1" applyBorder="1" applyAlignment="1">
      <alignment horizontal="left" vertical="center"/>
    </xf>
    <xf numFmtId="1" fontId="90" fillId="0" borderId="0" xfId="0" applyNumberFormat="1" applyFont="1" applyBorder="1" applyAlignment="1">
      <alignment horizontal="left"/>
    </xf>
    <xf numFmtId="1" fontId="91" fillId="0" borderId="10" xfId="0" applyNumberFormat="1" applyFont="1" applyFill="1" applyBorder="1" applyAlignment="1">
      <alignment horizontal="left"/>
    </xf>
    <xf numFmtId="1" fontId="91" fillId="0" borderId="11" xfId="42" applyNumberFormat="1" applyFont="1" applyBorder="1" applyAlignment="1">
      <alignment horizontal="left"/>
    </xf>
    <xf numFmtId="1" fontId="91" fillId="0" borderId="12" xfId="42" applyNumberFormat="1" applyFont="1" applyBorder="1" applyAlignment="1">
      <alignment horizontal="left"/>
    </xf>
    <xf numFmtId="1" fontId="91" fillId="0" borderId="10" xfId="42" applyNumberFormat="1" applyFont="1" applyBorder="1" applyAlignment="1">
      <alignment horizontal="left"/>
    </xf>
    <xf numFmtId="1" fontId="91" fillId="0" borderId="11" xfId="44" applyNumberFormat="1" applyFont="1" applyBorder="1" applyAlignment="1">
      <alignment horizontal="left"/>
    </xf>
    <xf numFmtId="1" fontId="91" fillId="0" borderId="12" xfId="44" applyNumberFormat="1" applyFont="1" applyBorder="1" applyAlignment="1">
      <alignment horizontal="left"/>
    </xf>
    <xf numFmtId="1" fontId="119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29" xfId="0" applyNumberFormat="1" applyFont="1" applyBorder="1" applyAlignment="1">
      <alignment horizontal="left"/>
    </xf>
    <xf numFmtId="1" fontId="6" fillId="0" borderId="28" xfId="0" applyNumberFormat="1" applyFont="1" applyBorder="1" applyAlignment="1">
      <alignment horizontal="left"/>
    </xf>
    <xf numFmtId="1" fontId="117" fillId="0" borderId="74" xfId="0" applyNumberFormat="1" applyFont="1" applyFill="1" applyBorder="1" applyAlignment="1">
      <alignment horizontal="left"/>
    </xf>
    <xf numFmtId="1" fontId="96" fillId="0" borderId="68" xfId="0" applyNumberFormat="1" applyFont="1" applyBorder="1" applyAlignment="1">
      <alignment horizontal="left"/>
    </xf>
    <xf numFmtId="1" fontId="91" fillId="0" borderId="10" xfId="44" applyNumberFormat="1" applyFont="1" applyBorder="1" applyAlignment="1">
      <alignment horizontal="left"/>
    </xf>
    <xf numFmtId="1" fontId="91" fillId="0" borderId="19" xfId="0" applyNumberFormat="1" applyFont="1" applyBorder="1" applyAlignment="1">
      <alignment horizontal="left"/>
    </xf>
    <xf numFmtId="1" fontId="91" fillId="0" borderId="18" xfId="0" applyNumberFormat="1" applyFont="1" applyFill="1" applyBorder="1" applyAlignment="1">
      <alignment horizontal="left"/>
    </xf>
    <xf numFmtId="1" fontId="91" fillId="0" borderId="16" xfId="44" applyNumberFormat="1" applyFont="1" applyBorder="1" applyAlignment="1">
      <alignment horizontal="left"/>
    </xf>
    <xf numFmtId="1" fontId="91" fillId="0" borderId="18" xfId="44" applyNumberFormat="1" applyFont="1" applyBorder="1" applyAlignment="1">
      <alignment horizontal="left"/>
    </xf>
    <xf numFmtId="1" fontId="94" fillId="0" borderId="16" xfId="0" applyNumberFormat="1" applyFont="1" applyBorder="1" applyAlignment="1">
      <alignment horizontal="left"/>
    </xf>
    <xf numFmtId="1" fontId="94" fillId="0" borderId="18" xfId="0" applyNumberFormat="1" applyFont="1" applyBorder="1" applyAlignment="1">
      <alignment horizontal="left"/>
    </xf>
    <xf numFmtId="1" fontId="91" fillId="0" borderId="16" xfId="0" applyNumberFormat="1" applyFont="1" applyFill="1" applyBorder="1" applyAlignment="1">
      <alignment horizontal="left"/>
    </xf>
    <xf numFmtId="1" fontId="91" fillId="0" borderId="16" xfId="42" applyNumberFormat="1" applyFont="1" applyBorder="1" applyAlignment="1">
      <alignment horizontal="left"/>
    </xf>
    <xf numFmtId="1" fontId="91" fillId="0" borderId="18" xfId="42" applyNumberFormat="1" applyFont="1" applyBorder="1" applyAlignment="1">
      <alignment horizontal="left"/>
    </xf>
    <xf numFmtId="1" fontId="91" fillId="0" borderId="39" xfId="0" applyNumberFormat="1" applyFont="1" applyBorder="1" applyAlignment="1">
      <alignment horizontal="left"/>
    </xf>
    <xf numFmtId="1" fontId="93" fillId="0" borderId="76" xfId="0" applyNumberFormat="1" applyFont="1" applyBorder="1" applyAlignment="1">
      <alignment horizontal="left" vertical="center" wrapText="1"/>
    </xf>
    <xf numFmtId="1" fontId="93" fillId="0" borderId="75" xfId="0" applyNumberFormat="1" applyFont="1" applyBorder="1" applyAlignment="1">
      <alignment horizontal="left" vertical="center" wrapText="1"/>
    </xf>
    <xf numFmtId="3" fontId="112" fillId="0" borderId="37" xfId="0" applyNumberFormat="1" applyFont="1" applyBorder="1" applyAlignment="1">
      <alignment horizontal="left"/>
    </xf>
    <xf numFmtId="1" fontId="94" fillId="0" borderId="12" xfId="0" applyNumberFormat="1" applyFont="1" applyBorder="1" applyAlignment="1">
      <alignment horizontal="left"/>
    </xf>
    <xf numFmtId="1" fontId="94" fillId="0" borderId="10" xfId="0" applyNumberFormat="1" applyFont="1" applyBorder="1" applyAlignment="1">
      <alignment horizontal="left"/>
    </xf>
    <xf numFmtId="1" fontId="84" fillId="0" borderId="0" xfId="0" applyNumberFormat="1" applyFont="1" applyAlignment="1">
      <alignment horizontal="left"/>
    </xf>
    <xf numFmtId="1" fontId="84" fillId="0" borderId="12" xfId="44" applyNumberFormat="1" applyFont="1" applyBorder="1" applyAlignment="1">
      <alignment horizontal="left"/>
    </xf>
    <xf numFmtId="1" fontId="84" fillId="0" borderId="15" xfId="44" applyNumberFormat="1" applyFont="1" applyBorder="1" applyAlignment="1">
      <alignment horizontal="left"/>
    </xf>
    <xf numFmtId="1" fontId="84" fillId="0" borderId="12" xfId="0" applyNumberFormat="1" applyFont="1" applyFill="1" applyBorder="1" applyAlignment="1">
      <alignment horizontal="left"/>
    </xf>
    <xf numFmtId="1" fontId="84" fillId="0" borderId="10" xfId="0" applyNumberFormat="1" applyFont="1" applyFill="1" applyBorder="1" applyAlignment="1">
      <alignment horizontal="left"/>
    </xf>
    <xf numFmtId="1" fontId="84" fillId="0" borderId="39" xfId="0" applyNumberFormat="1" applyFont="1" applyBorder="1" applyAlignment="1">
      <alignment horizontal="left" vertical="center"/>
    </xf>
    <xf numFmtId="1" fontId="84" fillId="0" borderId="20" xfId="0" applyNumberFormat="1" applyFont="1" applyBorder="1" applyAlignment="1">
      <alignment horizontal="left" vertical="center"/>
    </xf>
    <xf numFmtId="0" fontId="102" fillId="0" borderId="43" xfId="0" applyFont="1" applyBorder="1" applyAlignment="1">
      <alignment horizontal="left"/>
    </xf>
    <xf numFmtId="0" fontId="102" fillId="0" borderId="13" xfId="0" applyFont="1" applyBorder="1" applyAlignment="1">
      <alignment horizontal="left"/>
    </xf>
    <xf numFmtId="0" fontId="102" fillId="0" borderId="21" xfId="0" applyFont="1" applyBorder="1" applyAlignment="1">
      <alignment horizontal="left"/>
    </xf>
    <xf numFmtId="0" fontId="102" fillId="0" borderId="77" xfId="0" applyFont="1" applyBorder="1" applyAlignment="1">
      <alignment horizontal="left"/>
    </xf>
    <xf numFmtId="1" fontId="85" fillId="0" borderId="2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2" fillId="0" borderId="70" xfId="0" applyNumberFormat="1" applyFont="1" applyBorder="1" applyAlignment="1">
      <alignment horizontal="left" vertical="center"/>
    </xf>
    <xf numFmtId="1" fontId="2" fillId="0" borderId="71" xfId="0" applyNumberFormat="1" applyFont="1" applyBorder="1" applyAlignment="1">
      <alignment horizontal="left" vertical="center"/>
    </xf>
    <xf numFmtId="1" fontId="5" fillId="0" borderId="70" xfId="0" applyNumberFormat="1" applyFont="1" applyBorder="1" applyAlignment="1">
      <alignment horizontal="left"/>
    </xf>
    <xf numFmtId="1" fontId="5" fillId="0" borderId="71" xfId="0" applyNumberFormat="1" applyFont="1" applyBorder="1" applyAlignment="1">
      <alignment horizontal="left"/>
    </xf>
    <xf numFmtId="1" fontId="2" fillId="0" borderId="72" xfId="0" applyNumberFormat="1" applyFont="1" applyBorder="1" applyAlignment="1">
      <alignment horizontal="left"/>
    </xf>
    <xf numFmtId="1" fontId="2" fillId="0" borderId="70" xfId="0" applyNumberFormat="1" applyFont="1" applyBorder="1" applyAlignment="1">
      <alignment horizontal="left"/>
    </xf>
    <xf numFmtId="1" fontId="2" fillId="0" borderId="71" xfId="0" applyNumberFormat="1" applyFont="1" applyBorder="1" applyAlignment="1">
      <alignment horizontal="left"/>
    </xf>
    <xf numFmtId="1" fontId="5" fillId="0" borderId="88" xfId="0" applyNumberFormat="1" applyFont="1" applyBorder="1" applyAlignment="1">
      <alignment horizontal="left"/>
    </xf>
    <xf numFmtId="2" fontId="5" fillId="0" borderId="71" xfId="0" applyNumberFormat="1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1" fontId="5" fillId="0" borderId="70" xfId="0" applyNumberFormat="1" applyFont="1" applyFill="1" applyBorder="1" applyAlignment="1">
      <alignment horizontal="left"/>
    </xf>
    <xf numFmtId="1" fontId="5" fillId="0" borderId="71" xfId="0" applyNumberFormat="1" applyFont="1" applyFill="1" applyBorder="1" applyAlignment="1">
      <alignment horizontal="left"/>
    </xf>
    <xf numFmtId="1" fontId="5" fillId="0" borderId="70" xfId="42" applyNumberFormat="1" applyFont="1" applyBorder="1" applyAlignment="1">
      <alignment horizontal="left"/>
    </xf>
    <xf numFmtId="1" fontId="5" fillId="0" borderId="71" xfId="42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11" xfId="0" applyNumberFormat="1" applyFont="1" applyBorder="1" applyAlignment="1">
      <alignment horizontal="left"/>
    </xf>
    <xf numFmtId="1" fontId="91" fillId="0" borderId="38" xfId="44" applyNumberFormat="1" applyFont="1" applyBorder="1" applyAlignment="1">
      <alignment horizontal="left"/>
    </xf>
    <xf numFmtId="1" fontId="91" fillId="0" borderId="38" xfId="0" applyNumberFormat="1" applyFont="1" applyBorder="1" applyAlignment="1">
      <alignment horizontal="left" wrapText="1"/>
    </xf>
    <xf numFmtId="1" fontId="94" fillId="0" borderId="38" xfId="0" applyNumberFormat="1" applyFont="1" applyBorder="1" applyAlignment="1">
      <alignment horizontal="left"/>
    </xf>
    <xf numFmtId="1" fontId="91" fillId="0" borderId="38" xfId="0" applyNumberFormat="1" applyFont="1" applyFill="1" applyBorder="1" applyAlignment="1">
      <alignment horizontal="left"/>
    </xf>
    <xf numFmtId="1" fontId="91" fillId="0" borderId="38" xfId="42" applyNumberFormat="1" applyFont="1" applyBorder="1" applyAlignment="1">
      <alignment horizontal="left"/>
    </xf>
    <xf numFmtId="1" fontId="91" fillId="0" borderId="39" xfId="42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 wrapText="1"/>
    </xf>
    <xf numFmtId="1" fontId="94" fillId="0" borderId="11" xfId="0" applyNumberFormat="1" applyFont="1" applyBorder="1" applyAlignment="1">
      <alignment horizontal="left"/>
    </xf>
    <xf numFmtId="1" fontId="91" fillId="0" borderId="11" xfId="0" applyNumberFormat="1" applyFont="1" applyFill="1" applyBorder="1" applyAlignment="1">
      <alignment horizontal="left"/>
    </xf>
    <xf numFmtId="1" fontId="91" fillId="0" borderId="15" xfId="42" applyNumberFormat="1" applyFont="1" applyBorder="1" applyAlignment="1">
      <alignment horizontal="left"/>
    </xf>
    <xf numFmtId="0" fontId="109" fillId="0" borderId="53" xfId="0" applyFont="1" applyBorder="1" applyAlignment="1">
      <alignment horizontal="left"/>
    </xf>
    <xf numFmtId="0" fontId="110" fillId="0" borderId="79" xfId="0" applyFont="1" applyBorder="1" applyAlignment="1">
      <alignment horizontal="left"/>
    </xf>
    <xf numFmtId="0" fontId="110" fillId="0" borderId="83" xfId="0" applyFont="1" applyBorder="1" applyAlignment="1">
      <alignment horizontal="left"/>
    </xf>
    <xf numFmtId="0" fontId="110" fillId="0" borderId="84" xfId="0" applyFont="1" applyBorder="1" applyAlignment="1">
      <alignment horizontal="left"/>
    </xf>
    <xf numFmtId="1" fontId="84" fillId="0" borderId="29" xfId="0" applyNumberFormat="1" applyFont="1" applyBorder="1" applyAlignment="1">
      <alignment horizontal="left" vertical="center"/>
    </xf>
    <xf numFmtId="1" fontId="84" fillId="0" borderId="28" xfId="0" applyNumberFormat="1" applyFont="1" applyBorder="1" applyAlignment="1">
      <alignment horizontal="left" vertical="center"/>
    </xf>
    <xf numFmtId="1" fontId="102" fillId="0" borderId="81" xfId="0" applyNumberFormat="1" applyFont="1" applyBorder="1" applyAlignment="1">
      <alignment horizontal="left" vertical="center"/>
    </xf>
    <xf numFmtId="1" fontId="102" fillId="0" borderId="76" xfId="0" applyNumberFormat="1" applyFont="1" applyBorder="1" applyAlignment="1">
      <alignment horizontal="left" vertical="center"/>
    </xf>
    <xf numFmtId="1" fontId="84" fillId="0" borderId="29" xfId="0" applyNumberFormat="1" applyFont="1" applyBorder="1" applyAlignment="1">
      <alignment horizontal="left"/>
    </xf>
    <xf numFmtId="1" fontId="84" fillId="0" borderId="28" xfId="0" applyNumberFormat="1" applyFont="1" applyBorder="1" applyAlignment="1">
      <alignment horizontal="left"/>
    </xf>
    <xf numFmtId="1" fontId="84" fillId="0" borderId="29" xfId="44" applyNumberFormat="1" applyFont="1" applyBorder="1" applyAlignment="1">
      <alignment horizontal="left"/>
    </xf>
    <xf numFmtId="1" fontId="84" fillId="0" borderId="32" xfId="44" applyNumberFormat="1" applyFont="1" applyBorder="1" applyAlignment="1">
      <alignment horizontal="left"/>
    </xf>
    <xf numFmtId="1" fontId="94" fillId="0" borderId="29" xfId="0" applyNumberFormat="1" applyFont="1" applyBorder="1" applyAlignment="1">
      <alignment horizontal="left"/>
    </xf>
    <xf numFmtId="1" fontId="94" fillId="0" borderId="28" xfId="0" applyNumberFormat="1" applyFont="1" applyBorder="1" applyAlignment="1">
      <alignment horizontal="left"/>
    </xf>
    <xf numFmtId="1" fontId="84" fillId="0" borderId="29" xfId="0" applyNumberFormat="1" applyFont="1" applyFill="1" applyBorder="1" applyAlignment="1">
      <alignment horizontal="left"/>
    </xf>
    <xf numFmtId="1" fontId="84" fillId="0" borderId="28" xfId="0" applyNumberFormat="1" applyFont="1" applyFill="1" applyBorder="1" applyAlignment="1">
      <alignment horizontal="left"/>
    </xf>
    <xf numFmtId="1" fontId="84" fillId="0" borderId="29" xfId="42" applyNumberFormat="1" applyFont="1" applyBorder="1" applyAlignment="1">
      <alignment horizontal="left"/>
    </xf>
    <xf numFmtId="1" fontId="84" fillId="0" borderId="28" xfId="42" applyNumberFormat="1" applyFont="1" applyBorder="1" applyAlignment="1">
      <alignment horizontal="left"/>
    </xf>
    <xf numFmtId="1" fontId="84" fillId="0" borderId="70" xfId="0" applyNumberFormat="1" applyFont="1" applyBorder="1" applyAlignment="1">
      <alignment horizontal="left" vertical="center"/>
    </xf>
    <xf numFmtId="1" fontId="84" fillId="0" borderId="71" xfId="0" applyNumberFormat="1" applyFont="1" applyBorder="1" applyAlignment="1">
      <alignment horizontal="left" vertical="center"/>
    </xf>
    <xf numFmtId="1" fontId="85" fillId="0" borderId="70" xfId="0" applyNumberFormat="1" applyFont="1" applyBorder="1" applyAlignment="1">
      <alignment horizontal="left"/>
    </xf>
    <xf numFmtId="1" fontId="85" fillId="0" borderId="71" xfId="0" applyNumberFormat="1" applyFont="1" applyBorder="1" applyAlignment="1">
      <alignment horizontal="left"/>
    </xf>
    <xf numFmtId="2" fontId="85" fillId="0" borderId="70" xfId="0" applyNumberFormat="1" applyFont="1" applyBorder="1" applyAlignment="1">
      <alignment horizontal="left"/>
    </xf>
    <xf numFmtId="2" fontId="85" fillId="0" borderId="71" xfId="0" applyNumberFormat="1" applyFont="1" applyBorder="1" applyAlignment="1">
      <alignment horizontal="left"/>
    </xf>
    <xf numFmtId="1" fontId="85" fillId="0" borderId="88" xfId="0" applyNumberFormat="1" applyFont="1" applyBorder="1" applyAlignment="1">
      <alignment horizontal="left"/>
    </xf>
    <xf numFmtId="0" fontId="85" fillId="0" borderId="70" xfId="0" applyFont="1" applyBorder="1" applyAlignment="1">
      <alignment horizontal="left"/>
    </xf>
    <xf numFmtId="0" fontId="85" fillId="0" borderId="71" xfId="0" applyFont="1" applyBorder="1" applyAlignment="1">
      <alignment horizontal="left"/>
    </xf>
    <xf numFmtId="0" fontId="87" fillId="0" borderId="70" xfId="0" applyFont="1" applyBorder="1" applyAlignment="1">
      <alignment horizontal="left"/>
    </xf>
    <xf numFmtId="0" fontId="87" fillId="0" borderId="71" xfId="0" applyFont="1" applyBorder="1" applyAlignment="1">
      <alignment horizontal="left"/>
    </xf>
    <xf numFmtId="1" fontId="85" fillId="0" borderId="70" xfId="0" applyNumberFormat="1" applyFont="1" applyFill="1" applyBorder="1" applyAlignment="1">
      <alignment horizontal="left"/>
    </xf>
    <xf numFmtId="1" fontId="85" fillId="0" borderId="71" xfId="0" applyNumberFormat="1" applyFont="1" applyFill="1" applyBorder="1" applyAlignment="1">
      <alignment horizontal="left"/>
    </xf>
    <xf numFmtId="1" fontId="85" fillId="0" borderId="70" xfId="42" applyNumberFormat="1" applyFont="1" applyBorder="1" applyAlignment="1">
      <alignment horizontal="left"/>
    </xf>
    <xf numFmtId="1" fontId="85" fillId="0" borderId="71" xfId="42" applyNumberFormat="1" applyFont="1" applyBorder="1" applyAlignment="1">
      <alignment horizontal="left"/>
    </xf>
    <xf numFmtId="1" fontId="84" fillId="0" borderId="72" xfId="0" applyNumberFormat="1" applyFont="1" applyBorder="1" applyAlignment="1">
      <alignment horizontal="left" vertical="center"/>
    </xf>
    <xf numFmtId="1" fontId="84" fillId="0" borderId="27" xfId="0" applyNumberFormat="1" applyFont="1" applyBorder="1" applyAlignment="1">
      <alignment horizontal="left" vertical="center"/>
    </xf>
    <xf numFmtId="3" fontId="92" fillId="0" borderId="27" xfId="0" applyNumberFormat="1" applyFont="1" applyBorder="1" applyAlignment="1">
      <alignment horizontal="left"/>
    </xf>
    <xf numFmtId="0" fontId="95" fillId="0" borderId="72" xfId="0" applyFont="1" applyBorder="1" applyAlignment="1">
      <alignment/>
    </xf>
    <xf numFmtId="0" fontId="89" fillId="0" borderId="26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0" fontId="89" fillId="0" borderId="54" xfId="0" applyFont="1" applyBorder="1" applyAlignment="1">
      <alignment horizontal="left"/>
    </xf>
    <xf numFmtId="1" fontId="93" fillId="0" borderId="53" xfId="0" applyNumberFormat="1" applyFont="1" applyFill="1" applyBorder="1" applyAlignment="1">
      <alignment horizontal="left" vertical="center" wrapText="1"/>
    </xf>
    <xf numFmtId="0" fontId="89" fillId="0" borderId="47" xfId="0" applyFont="1" applyBorder="1" applyAlignment="1">
      <alignment horizontal="left"/>
    </xf>
    <xf numFmtId="0" fontId="89" fillId="0" borderId="56" xfId="0" applyFont="1" applyBorder="1" applyAlignment="1">
      <alignment horizontal="left"/>
    </xf>
    <xf numFmtId="0" fontId="89" fillId="0" borderId="25" xfId="0" applyFont="1" applyBorder="1" applyAlignment="1">
      <alignment horizontal="left"/>
    </xf>
    <xf numFmtId="0" fontId="90" fillId="0" borderId="26" xfId="0" applyFont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1" fillId="0" borderId="53" xfId="0" applyFont="1" applyBorder="1" applyAlignment="1">
      <alignment horizontal="left" vertical="center"/>
    </xf>
    <xf numFmtId="0" fontId="91" fillId="0" borderId="23" xfId="0" applyFont="1" applyBorder="1" applyAlignment="1">
      <alignment horizontal="left" vertical="center"/>
    </xf>
    <xf numFmtId="1" fontId="85" fillId="0" borderId="0" xfId="0" applyNumberFormat="1" applyFont="1" applyAlignment="1">
      <alignment horizontal="justify" vertical="justify" wrapText="1"/>
    </xf>
    <xf numFmtId="0" fontId="85" fillId="0" borderId="0" xfId="0" applyFont="1" applyAlignment="1">
      <alignment horizontal="justify" vertical="justify" wrapText="1"/>
    </xf>
    <xf numFmtId="0" fontId="120" fillId="0" borderId="24" xfId="0" applyFont="1" applyBorder="1" applyAlignment="1">
      <alignment horizontal="left"/>
    </xf>
    <xf numFmtId="1" fontId="120" fillId="0" borderId="14" xfId="0" applyNumberFormat="1" applyFont="1" applyBorder="1" applyAlignment="1">
      <alignment horizontal="left" vertical="center"/>
    </xf>
    <xf numFmtId="1" fontId="120" fillId="0" borderId="26" xfId="0" applyNumberFormat="1" applyFont="1" applyBorder="1" applyAlignment="1">
      <alignment horizontal="left" vertical="center"/>
    </xf>
    <xf numFmtId="1" fontId="120" fillId="0" borderId="25" xfId="0" applyNumberFormat="1" applyFont="1" applyBorder="1" applyAlignment="1">
      <alignment horizontal="left" vertical="center"/>
    </xf>
    <xf numFmtId="1" fontId="120" fillId="0" borderId="11" xfId="0" applyNumberFormat="1" applyFont="1" applyBorder="1" applyAlignment="1">
      <alignment horizontal="left" vertical="center"/>
    </xf>
    <xf numFmtId="1" fontId="120" fillId="0" borderId="10" xfId="0" applyNumberFormat="1" applyFont="1" applyBorder="1" applyAlignment="1">
      <alignment horizontal="left" vertical="center"/>
    </xf>
    <xf numFmtId="2" fontId="120" fillId="0" borderId="14" xfId="0" applyNumberFormat="1" applyFont="1" applyBorder="1" applyAlignment="1">
      <alignment horizontal="left" vertical="center"/>
    </xf>
    <xf numFmtId="2" fontId="120" fillId="0" borderId="26" xfId="0" applyNumberFormat="1" applyFont="1" applyBorder="1" applyAlignment="1">
      <alignment horizontal="left" vertical="center"/>
    </xf>
    <xf numFmtId="1" fontId="120" fillId="0" borderId="11" xfId="0" applyNumberFormat="1" applyFont="1" applyBorder="1" applyAlignment="1">
      <alignment horizontal="left"/>
    </xf>
    <xf numFmtId="1" fontId="120" fillId="0" borderId="24" xfId="0" applyNumberFormat="1" applyFont="1" applyBorder="1" applyAlignment="1">
      <alignment horizontal="left"/>
    </xf>
    <xf numFmtId="0" fontId="121" fillId="0" borderId="0" xfId="0" applyFont="1" applyAlignment="1">
      <alignment horizontal="left"/>
    </xf>
    <xf numFmtId="0" fontId="93" fillId="0" borderId="58" xfId="0" applyFont="1" applyBorder="1" applyAlignment="1">
      <alignment horizontal="left" vertical="center"/>
    </xf>
    <xf numFmtId="3" fontId="112" fillId="0" borderId="22" xfId="0" applyNumberFormat="1" applyFont="1" applyBorder="1" applyAlignment="1">
      <alignment horizontal="left"/>
    </xf>
    <xf numFmtId="1" fontId="120" fillId="0" borderId="15" xfId="0" applyNumberFormat="1" applyFont="1" applyBorder="1" applyAlignment="1">
      <alignment horizontal="left"/>
    </xf>
    <xf numFmtId="1" fontId="120" fillId="0" borderId="40" xfId="0" applyNumberFormat="1" applyFont="1" applyBorder="1" applyAlignment="1">
      <alignment horizontal="left" vertical="center"/>
    </xf>
    <xf numFmtId="1" fontId="120" fillId="0" borderId="26" xfId="0" applyNumberFormat="1" applyFont="1" applyBorder="1" applyAlignment="1">
      <alignment horizontal="left"/>
    </xf>
    <xf numFmtId="1" fontId="120" fillId="0" borderId="25" xfId="0" applyNumberFormat="1" applyFont="1" applyBorder="1" applyAlignment="1">
      <alignment horizontal="left"/>
    </xf>
    <xf numFmtId="1" fontId="120" fillId="0" borderId="11" xfId="42" applyNumberFormat="1" applyFont="1" applyBorder="1" applyAlignment="1">
      <alignment horizontal="left"/>
    </xf>
    <xf numFmtId="1" fontId="120" fillId="0" borderId="0" xfId="0" applyNumberFormat="1" applyFont="1" applyAlignment="1">
      <alignment horizontal="left"/>
    </xf>
    <xf numFmtId="1" fontId="120" fillId="0" borderId="24" xfId="0" applyNumberFormat="1" applyFont="1" applyBorder="1" applyAlignment="1">
      <alignment horizontal="left" vertical="center"/>
    </xf>
    <xf numFmtId="1" fontId="120" fillId="0" borderId="14" xfId="42" applyNumberFormat="1" applyFont="1" applyBorder="1" applyAlignment="1">
      <alignment horizontal="left"/>
    </xf>
    <xf numFmtId="1" fontId="120" fillId="0" borderId="25" xfId="42" applyNumberFormat="1" applyFont="1" applyBorder="1" applyAlignment="1">
      <alignment horizontal="left"/>
    </xf>
    <xf numFmtId="1" fontId="92" fillId="0" borderId="14" xfId="0" applyNumberFormat="1" applyFont="1" applyBorder="1" applyAlignment="1">
      <alignment horizontal="left"/>
    </xf>
    <xf numFmtId="1" fontId="84" fillId="0" borderId="0" xfId="0" applyNumberFormat="1" applyFont="1" applyFill="1" applyBorder="1" applyAlignment="1">
      <alignment/>
    </xf>
    <xf numFmtId="1" fontId="122" fillId="0" borderId="34" xfId="0" applyNumberFormat="1" applyFont="1" applyBorder="1" applyAlignment="1">
      <alignment/>
    </xf>
    <xf numFmtId="1" fontId="95" fillId="0" borderId="0" xfId="0" applyNumberFormat="1" applyFont="1" applyAlignment="1">
      <alignment horizontal="justify" vertical="justify" wrapText="1"/>
    </xf>
    <xf numFmtId="0" fontId="121" fillId="0" borderId="26" xfId="0" applyFont="1" applyBorder="1" applyAlignment="1">
      <alignment horizontal="left"/>
    </xf>
    <xf numFmtId="3" fontId="121" fillId="0" borderId="26" xfId="0" applyNumberFormat="1" applyFont="1" applyBorder="1" applyAlignment="1">
      <alignment horizontal="left"/>
    </xf>
    <xf numFmtId="0" fontId="121" fillId="0" borderId="14" xfId="0" applyFont="1" applyBorder="1" applyAlignment="1">
      <alignment/>
    </xf>
    <xf numFmtId="0" fontId="121" fillId="0" borderId="12" xfId="0" applyFont="1" applyBorder="1" applyAlignment="1">
      <alignment horizontal="left"/>
    </xf>
    <xf numFmtId="0" fontId="121" fillId="0" borderId="10" xfId="0" applyFont="1" applyBorder="1" applyAlignment="1">
      <alignment horizontal="left"/>
    </xf>
    <xf numFmtId="0" fontId="121" fillId="0" borderId="14" xfId="0" applyFont="1" applyBorder="1" applyAlignment="1">
      <alignment horizontal="left"/>
    </xf>
    <xf numFmtId="0" fontId="121" fillId="0" borderId="0" xfId="0" applyFont="1" applyAlignment="1">
      <alignment/>
    </xf>
    <xf numFmtId="0" fontId="123" fillId="0" borderId="40" xfId="0" applyFont="1" applyBorder="1" applyAlignment="1">
      <alignment horizontal="left"/>
    </xf>
    <xf numFmtId="1" fontId="124" fillId="0" borderId="11" xfId="0" applyNumberFormat="1" applyFont="1" applyBorder="1" applyAlignment="1">
      <alignment horizontal="left" vertical="center"/>
    </xf>
    <xf numFmtId="1" fontId="125" fillId="0" borderId="11" xfId="0" applyNumberFormat="1" applyFont="1" applyBorder="1" applyAlignment="1">
      <alignment horizontal="left" vertical="center"/>
    </xf>
    <xf numFmtId="1" fontId="124" fillId="0" borderId="40" xfId="0" applyNumberFormat="1" applyFont="1" applyBorder="1" applyAlignment="1">
      <alignment horizontal="left" vertical="center"/>
    </xf>
    <xf numFmtId="1" fontId="124" fillId="0" borderId="24" xfId="0" applyNumberFormat="1" applyFont="1" applyBorder="1" applyAlignment="1">
      <alignment horizontal="left" vertical="center"/>
    </xf>
    <xf numFmtId="1" fontId="126" fillId="0" borderId="0" xfId="0" applyNumberFormat="1" applyFont="1" applyAlignment="1">
      <alignment/>
    </xf>
    <xf numFmtId="0" fontId="4" fillId="0" borderId="0" xfId="0" applyFont="1" applyAlignment="1">
      <alignment horizontal="justify" vertical="justify" wrapText="1"/>
    </xf>
    <xf numFmtId="0" fontId="95" fillId="0" borderId="0" xfId="0" applyFont="1" applyAlignment="1">
      <alignment horizontal="justify" vertical="justify" wrapText="1"/>
    </xf>
    <xf numFmtId="2" fontId="90" fillId="0" borderId="19" xfId="0" applyNumberFormat="1" applyFont="1" applyFill="1" applyBorder="1" applyAlignment="1">
      <alignment horizontal="left"/>
    </xf>
    <xf numFmtId="2" fontId="90" fillId="0" borderId="14" xfId="0" applyNumberFormat="1" applyFont="1" applyFill="1" applyBorder="1" applyAlignment="1">
      <alignment horizontal="left"/>
    </xf>
    <xf numFmtId="2" fontId="90" fillId="0" borderId="30" xfId="0" applyNumberFormat="1" applyFont="1" applyFill="1" applyBorder="1" applyAlignment="1">
      <alignment horizontal="left"/>
    </xf>
    <xf numFmtId="2" fontId="90" fillId="0" borderId="52" xfId="0" applyNumberFormat="1" applyFont="1" applyFill="1" applyBorder="1" applyAlignment="1">
      <alignment horizontal="left"/>
    </xf>
    <xf numFmtId="165" fontId="92" fillId="0" borderId="38" xfId="0" applyNumberFormat="1" applyFont="1" applyBorder="1" applyAlignment="1">
      <alignment horizontal="left"/>
    </xf>
    <xf numFmtId="165" fontId="92" fillId="0" borderId="18" xfId="0" applyNumberFormat="1" applyFont="1" applyBorder="1" applyAlignment="1">
      <alignment horizontal="left"/>
    </xf>
    <xf numFmtId="165" fontId="92" fillId="0" borderId="11" xfId="0" applyNumberFormat="1" applyFont="1" applyBorder="1" applyAlignment="1">
      <alignment horizontal="left"/>
    </xf>
    <xf numFmtId="165" fontId="92" fillId="0" borderId="10" xfId="0" applyNumberFormat="1" applyFont="1" applyBorder="1" applyAlignment="1">
      <alignment horizontal="left"/>
    </xf>
    <xf numFmtId="0" fontId="92" fillId="0" borderId="11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165" fontId="92" fillId="0" borderId="31" xfId="0" applyNumberFormat="1" applyFont="1" applyBorder="1" applyAlignment="1">
      <alignment horizontal="left"/>
    </xf>
    <xf numFmtId="165" fontId="92" fillId="0" borderId="28" xfId="0" applyNumberFormat="1" applyFont="1" applyBorder="1" applyAlignment="1">
      <alignment horizontal="left"/>
    </xf>
    <xf numFmtId="2" fontId="91" fillId="0" borderId="73" xfId="0" applyNumberFormat="1" applyFont="1" applyBorder="1" applyAlignment="1">
      <alignment horizontal="left"/>
    </xf>
    <xf numFmtId="2" fontId="91" fillId="0" borderId="25" xfId="0" applyNumberFormat="1" applyFont="1" applyBorder="1" applyAlignment="1">
      <alignment horizontal="left"/>
    </xf>
    <xf numFmtId="2" fontId="91" fillId="0" borderId="80" xfId="0" applyNumberFormat="1" applyFont="1" applyBorder="1" applyAlignment="1">
      <alignment horizontal="left"/>
    </xf>
    <xf numFmtId="2" fontId="106" fillId="0" borderId="66" xfId="0" applyNumberFormat="1" applyFont="1" applyBorder="1" applyAlignment="1">
      <alignment horizontal="left"/>
    </xf>
    <xf numFmtId="2" fontId="91" fillId="0" borderId="66" xfId="0" applyNumberFormat="1" applyFont="1" applyBorder="1" applyAlignment="1">
      <alignment horizontal="left"/>
    </xf>
    <xf numFmtId="2" fontId="106" fillId="0" borderId="75" xfId="0" applyNumberFormat="1" applyFont="1" applyBorder="1" applyAlignment="1">
      <alignment horizontal="left"/>
    </xf>
    <xf numFmtId="2" fontId="106" fillId="0" borderId="53" xfId="42" applyNumberFormat="1" applyFont="1" applyBorder="1" applyAlignment="1">
      <alignment horizontal="left"/>
    </xf>
    <xf numFmtId="0" fontId="102" fillId="0" borderId="60" xfId="0" applyFont="1" applyBorder="1" applyAlignment="1">
      <alignment horizontal="left"/>
    </xf>
    <xf numFmtId="2" fontId="5" fillId="0" borderId="69" xfId="0" applyNumberFormat="1" applyFont="1" applyBorder="1" applyAlignment="1">
      <alignment horizontal="left"/>
    </xf>
    <xf numFmtId="1" fontId="95" fillId="0" borderId="14" xfId="42" applyNumberFormat="1" applyFont="1" applyBorder="1" applyAlignment="1">
      <alignment horizontal="left"/>
    </xf>
    <xf numFmtId="1" fontId="95" fillId="0" borderId="30" xfId="42" applyNumberFormat="1" applyFont="1" applyBorder="1" applyAlignment="1">
      <alignment horizontal="left"/>
    </xf>
    <xf numFmtId="1" fontId="95" fillId="0" borderId="11" xfId="42" applyNumberFormat="1" applyFont="1" applyBorder="1" applyAlignment="1">
      <alignment horizontal="left"/>
    </xf>
    <xf numFmtId="1" fontId="95" fillId="0" borderId="31" xfId="42" applyNumberFormat="1" applyFont="1" applyBorder="1" applyAlignment="1">
      <alignment horizontal="left"/>
    </xf>
    <xf numFmtId="1" fontId="95" fillId="0" borderId="11" xfId="0" applyNumberFormat="1" applyFont="1" applyFill="1" applyBorder="1" applyAlignment="1">
      <alignment horizontal="left"/>
    </xf>
    <xf numFmtId="1" fontId="95" fillId="0" borderId="31" xfId="0" applyNumberFormat="1" applyFont="1" applyFill="1" applyBorder="1" applyAlignment="1">
      <alignment horizontal="left"/>
    </xf>
    <xf numFmtId="1" fontId="92" fillId="0" borderId="11" xfId="0" applyNumberFormat="1" applyFont="1" applyBorder="1" applyAlignment="1">
      <alignment horizontal="left"/>
    </xf>
    <xf numFmtId="1" fontId="92" fillId="0" borderId="31" xfId="0" applyNumberFormat="1" applyFont="1" applyBorder="1" applyAlignment="1">
      <alignment horizontal="left"/>
    </xf>
    <xf numFmtId="1" fontId="120" fillId="0" borderId="4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95" fillId="0" borderId="11" xfId="44" applyNumberFormat="1" applyFont="1" applyBorder="1" applyAlignment="1">
      <alignment horizontal="left"/>
    </xf>
    <xf numFmtId="1" fontId="95" fillId="0" borderId="31" xfId="44" applyNumberFormat="1" applyFont="1" applyBorder="1" applyAlignment="1">
      <alignment horizontal="left"/>
    </xf>
    <xf numFmtId="1" fontId="95" fillId="0" borderId="17" xfId="0" applyNumberFormat="1" applyFont="1" applyBorder="1" applyAlignment="1">
      <alignment horizontal="left"/>
    </xf>
    <xf numFmtId="1" fontId="93" fillId="0" borderId="87" xfId="0" applyNumberFormat="1" applyFont="1" applyBorder="1" applyAlignment="1">
      <alignment horizontal="justify" vertical="justify" wrapText="1"/>
    </xf>
    <xf numFmtId="1" fontId="93" fillId="0" borderId="82" xfId="0" applyNumberFormat="1" applyFont="1" applyBorder="1" applyAlignment="1">
      <alignment vertical="center"/>
    </xf>
    <xf numFmtId="1" fontId="95" fillId="0" borderId="11" xfId="0" applyNumberFormat="1" applyFont="1" applyBorder="1" applyAlignment="1">
      <alignment horizontal="left" vertical="center"/>
    </xf>
    <xf numFmtId="1" fontId="93" fillId="0" borderId="11" xfId="0" applyNumberFormat="1" applyFont="1" applyBorder="1" applyAlignment="1">
      <alignment horizontal="left" vertical="center"/>
    </xf>
    <xf numFmtId="1" fontId="95" fillId="0" borderId="31" xfId="0" applyNumberFormat="1" applyFont="1" applyBorder="1" applyAlignment="1">
      <alignment horizontal="left" vertical="center"/>
    </xf>
    <xf numFmtId="1" fontId="93" fillId="0" borderId="10" xfId="0" applyNumberFormat="1" applyFont="1" applyBorder="1" applyAlignment="1">
      <alignment horizontal="left" vertical="center"/>
    </xf>
    <xf numFmtId="1" fontId="95" fillId="0" borderId="28" xfId="0" applyNumberFormat="1" applyFont="1" applyBorder="1" applyAlignment="1">
      <alignment horizontal="left" vertical="center"/>
    </xf>
    <xf numFmtId="1" fontId="95" fillId="0" borderId="33" xfId="0" applyNumberFormat="1" applyFont="1" applyBorder="1" applyAlignment="1">
      <alignment horizontal="left" vertical="center"/>
    </xf>
    <xf numFmtId="0" fontId="96" fillId="0" borderId="41" xfId="0" applyFont="1" applyBorder="1" applyAlignment="1">
      <alignment horizontal="left"/>
    </xf>
    <xf numFmtId="0" fontId="93" fillId="0" borderId="38" xfId="0" applyFont="1" applyBorder="1" applyAlignment="1">
      <alignment horizontal="left" vertical="center"/>
    </xf>
    <xf numFmtId="2" fontId="95" fillId="0" borderId="11" xfId="0" applyNumberFormat="1" applyFont="1" applyBorder="1" applyAlignment="1">
      <alignment horizontal="left" vertical="center"/>
    </xf>
    <xf numFmtId="2" fontId="93" fillId="0" borderId="11" xfId="0" applyNumberFormat="1" applyFont="1" applyBorder="1" applyAlignment="1">
      <alignment horizontal="left" vertical="center"/>
    </xf>
    <xf numFmtId="2" fontId="95" fillId="0" borderId="31" xfId="0" applyNumberFormat="1" applyFont="1" applyBorder="1" applyAlignment="1">
      <alignment horizontal="left" vertical="center"/>
    </xf>
    <xf numFmtId="2" fontId="112" fillId="0" borderId="48" xfId="0" applyNumberFormat="1" applyFont="1" applyBorder="1" applyAlignment="1">
      <alignment horizontal="left" vertical="center"/>
    </xf>
    <xf numFmtId="0" fontId="95" fillId="0" borderId="79" xfId="0" applyFont="1" applyBorder="1" applyAlignment="1">
      <alignment horizontal="left"/>
    </xf>
    <xf numFmtId="2" fontId="95" fillId="0" borderId="69" xfId="0" applyNumberFormat="1" applyFont="1" applyBorder="1" applyAlignment="1">
      <alignment horizontal="left"/>
    </xf>
    <xf numFmtId="2" fontId="115" fillId="0" borderId="86" xfId="0" applyNumberFormat="1" applyFont="1" applyBorder="1" applyAlignment="1">
      <alignment horizontal="left"/>
    </xf>
    <xf numFmtId="1" fontId="95" fillId="0" borderId="72" xfId="0" applyNumberFormat="1" applyFont="1" applyBorder="1" applyAlignment="1">
      <alignment horizontal="left"/>
    </xf>
    <xf numFmtId="1" fontId="95" fillId="0" borderId="78" xfId="0" applyNumberFormat="1" applyFont="1" applyBorder="1" applyAlignment="1">
      <alignment horizontal="left"/>
    </xf>
    <xf numFmtId="1" fontId="115" fillId="0" borderId="78" xfId="0" applyNumberFormat="1" applyFont="1" applyBorder="1" applyAlignment="1">
      <alignment horizontal="left"/>
    </xf>
    <xf numFmtId="0" fontId="93" fillId="0" borderId="19" xfId="0" applyFont="1" applyBorder="1" applyAlignment="1">
      <alignment horizontal="left" vertical="center"/>
    </xf>
    <xf numFmtId="2" fontId="95" fillId="0" borderId="14" xfId="0" applyNumberFormat="1" applyFont="1" applyBorder="1" applyAlignment="1">
      <alignment horizontal="left"/>
    </xf>
    <xf numFmtId="2" fontId="93" fillId="0" borderId="14" xfId="0" applyNumberFormat="1" applyFont="1" applyBorder="1" applyAlignment="1">
      <alignment horizontal="left"/>
    </xf>
    <xf numFmtId="2" fontId="95" fillId="0" borderId="30" xfId="0" applyNumberFormat="1" applyFont="1" applyBorder="1" applyAlignment="1">
      <alignment horizontal="left"/>
    </xf>
    <xf numFmtId="2" fontId="95" fillId="0" borderId="14" xfId="44" applyNumberFormat="1" applyFont="1" applyBorder="1" applyAlignment="1">
      <alignment horizontal="left"/>
    </xf>
    <xf numFmtId="2" fontId="95" fillId="0" borderId="30" xfId="44" applyNumberFormat="1" applyFont="1" applyBorder="1" applyAlignment="1">
      <alignment horizontal="left"/>
    </xf>
    <xf numFmtId="2" fontId="95" fillId="0" borderId="28" xfId="44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95" fillId="0" borderId="52" xfId="0" applyFont="1" applyBorder="1" applyAlignment="1">
      <alignment horizontal="left"/>
    </xf>
    <xf numFmtId="2" fontId="115" fillId="0" borderId="78" xfId="0" applyNumberFormat="1" applyFont="1" applyBorder="1" applyAlignment="1">
      <alignment horizontal="left"/>
    </xf>
    <xf numFmtId="1" fontId="112" fillId="0" borderId="75" xfId="0" applyNumberFormat="1" applyFont="1" applyBorder="1" applyAlignment="1">
      <alignment horizontal="left" vertical="center"/>
    </xf>
    <xf numFmtId="0" fontId="95" fillId="0" borderId="36" xfId="0" applyFont="1" applyBorder="1" applyAlignment="1">
      <alignment horizontal="left"/>
    </xf>
    <xf numFmtId="0" fontId="93" fillId="0" borderId="72" xfId="0" applyFont="1" applyBorder="1" applyAlignment="1">
      <alignment horizontal="left" vertical="center"/>
    </xf>
    <xf numFmtId="1" fontId="92" fillId="0" borderId="58" xfId="0" applyNumberFormat="1" applyFont="1" applyBorder="1" applyAlignment="1">
      <alignment horizontal="left"/>
    </xf>
    <xf numFmtId="1" fontId="95" fillId="0" borderId="22" xfId="0" applyNumberFormat="1" applyFont="1" applyBorder="1" applyAlignment="1">
      <alignment horizontal="left"/>
    </xf>
    <xf numFmtId="1" fontId="95" fillId="0" borderId="14" xfId="0" applyNumberFormat="1" applyFont="1" applyFill="1" applyBorder="1" applyAlignment="1">
      <alignment horizontal="left"/>
    </xf>
    <xf numFmtId="1" fontId="95" fillId="0" borderId="30" xfId="0" applyNumberFormat="1" applyFont="1" applyFill="1" applyBorder="1" applyAlignment="1">
      <alignment horizontal="left"/>
    </xf>
    <xf numFmtId="0" fontId="93" fillId="0" borderId="71" xfId="0" applyFont="1" applyBorder="1" applyAlignment="1">
      <alignment horizontal="left" vertical="center"/>
    </xf>
    <xf numFmtId="1" fontId="95" fillId="0" borderId="10" xfId="0" applyNumberFormat="1" applyFont="1" applyFill="1" applyBorder="1" applyAlignment="1">
      <alignment horizontal="left"/>
    </xf>
    <xf numFmtId="1" fontId="95" fillId="0" borderId="28" xfId="0" applyNumberFormat="1" applyFont="1" applyFill="1" applyBorder="1" applyAlignment="1">
      <alignment horizontal="left"/>
    </xf>
    <xf numFmtId="1" fontId="112" fillId="0" borderId="52" xfId="0" applyNumberFormat="1" applyFont="1" applyBorder="1" applyAlignment="1">
      <alignment horizontal="left"/>
    </xf>
    <xf numFmtId="1" fontId="95" fillId="0" borderId="52" xfId="0" applyNumberFormat="1" applyFont="1" applyBorder="1" applyAlignment="1">
      <alignment horizontal="left"/>
    </xf>
    <xf numFmtId="0" fontId="110" fillId="0" borderId="82" xfId="0" applyFont="1" applyBorder="1" applyAlignment="1">
      <alignment horizontal="left"/>
    </xf>
    <xf numFmtId="1" fontId="112" fillId="0" borderId="43" xfId="0" applyNumberFormat="1" applyFont="1" applyBorder="1" applyAlignment="1">
      <alignment horizontal="left" vertical="center"/>
    </xf>
    <xf numFmtId="1" fontId="112" fillId="0" borderId="22" xfId="0" applyNumberFormat="1" applyFont="1" applyBorder="1" applyAlignment="1">
      <alignment horizontal="left"/>
    </xf>
    <xf numFmtId="0" fontId="93" fillId="0" borderId="56" xfId="0" applyFont="1" applyBorder="1" applyAlignment="1">
      <alignment horizontal="left" vertical="center"/>
    </xf>
    <xf numFmtId="2" fontId="95" fillId="0" borderId="26" xfId="44" applyNumberFormat="1" applyFont="1" applyBorder="1" applyAlignment="1">
      <alignment horizontal="left"/>
    </xf>
    <xf numFmtId="1" fontId="95" fillId="0" borderId="26" xfId="44" applyNumberFormat="1" applyFont="1" applyBorder="1" applyAlignment="1">
      <alignment horizontal="left"/>
    </xf>
    <xf numFmtId="1" fontId="95" fillId="0" borderId="26" xfId="0" applyNumberFormat="1" applyFont="1" applyBorder="1" applyAlignment="1">
      <alignment horizontal="left"/>
    </xf>
    <xf numFmtId="1" fontId="112" fillId="0" borderId="59" xfId="0" applyNumberFormat="1" applyFont="1" applyBorder="1" applyAlignment="1">
      <alignment horizontal="left"/>
    </xf>
    <xf numFmtId="1" fontId="95" fillId="0" borderId="24" xfId="0" applyNumberFormat="1" applyFont="1" applyBorder="1" applyAlignment="1">
      <alignment horizontal="left"/>
    </xf>
    <xf numFmtId="2" fontId="95" fillId="0" borderId="14" xfId="42" applyNumberFormat="1" applyFont="1" applyBorder="1" applyAlignment="1">
      <alignment horizontal="left"/>
    </xf>
    <xf numFmtId="1" fontId="112" fillId="0" borderId="22" xfId="42" applyNumberFormat="1" applyFont="1" applyBorder="1" applyAlignment="1">
      <alignment horizontal="left"/>
    </xf>
    <xf numFmtId="2" fontId="95" fillId="0" borderId="10" xfId="0" applyNumberFormat="1" applyFont="1" applyFill="1" applyBorder="1" applyAlignment="1">
      <alignment horizontal="left"/>
    </xf>
    <xf numFmtId="1" fontId="112" fillId="0" borderId="21" xfId="0" applyNumberFormat="1" applyFont="1" applyFill="1" applyBorder="1" applyAlignment="1">
      <alignment horizontal="left"/>
    </xf>
    <xf numFmtId="1" fontId="95" fillId="0" borderId="0" xfId="0" applyNumberFormat="1" applyFont="1" applyFill="1" applyAlignment="1">
      <alignment horizontal="justify" vertical="justify" wrapText="1"/>
    </xf>
    <xf numFmtId="1" fontId="119" fillId="0" borderId="12" xfId="0" applyNumberFormat="1" applyFont="1" applyBorder="1" applyAlignment="1">
      <alignment horizontal="left"/>
    </xf>
    <xf numFmtId="0" fontId="85" fillId="0" borderId="12" xfId="0" applyFont="1" applyBorder="1" applyAlignment="1">
      <alignment horizontal="center"/>
    </xf>
    <xf numFmtId="0" fontId="84" fillId="0" borderId="62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justify" wrapText="1"/>
    </xf>
    <xf numFmtId="0" fontId="4" fillId="0" borderId="7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27" xfId="0" applyFont="1" applyBorder="1" applyAlignment="1">
      <alignment horizontal="center" vertical="justify" wrapText="1"/>
    </xf>
    <xf numFmtId="0" fontId="4" fillId="0" borderId="34" xfId="0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 wrapText="1"/>
    </xf>
    <xf numFmtId="0" fontId="4" fillId="0" borderId="75" xfId="0" applyFont="1" applyBorder="1" applyAlignment="1">
      <alignment horizontal="center" vertical="justify" wrapText="1"/>
    </xf>
    <xf numFmtId="0" fontId="4" fillId="0" borderId="48" xfId="0" applyFont="1" applyBorder="1" applyAlignment="1">
      <alignment horizontal="center" vertical="justify" wrapText="1"/>
    </xf>
    <xf numFmtId="0" fontId="4" fillId="0" borderId="49" xfId="0" applyFont="1" applyBorder="1" applyAlignment="1">
      <alignment horizontal="center" vertical="justify" wrapText="1"/>
    </xf>
    <xf numFmtId="0" fontId="4" fillId="0" borderId="51" xfId="0" applyFont="1" applyBorder="1" applyAlignment="1">
      <alignment horizontal="center" vertical="justify" wrapText="1"/>
    </xf>
    <xf numFmtId="0" fontId="4" fillId="0" borderId="87" xfId="0" applyFont="1" applyBorder="1" applyAlignment="1">
      <alignment horizontal="center" vertical="justify" wrapText="1"/>
    </xf>
    <xf numFmtId="0" fontId="4" fillId="0" borderId="66" xfId="0" applyFont="1" applyBorder="1" applyAlignment="1">
      <alignment horizontal="center" vertical="justify" wrapText="1"/>
    </xf>
    <xf numFmtId="0" fontId="4" fillId="0" borderId="67" xfId="0" applyFont="1" applyBorder="1" applyAlignment="1">
      <alignment horizontal="center" vertical="justify" wrapText="1"/>
    </xf>
    <xf numFmtId="1" fontId="4" fillId="0" borderId="74" xfId="0" applyNumberFormat="1" applyFont="1" applyBorder="1" applyAlignment="1">
      <alignment horizontal="center" vertical="justify" wrapText="1"/>
    </xf>
    <xf numFmtId="1" fontId="4" fillId="0" borderId="75" xfId="0" applyNumberFormat="1" applyFont="1" applyBorder="1" applyAlignment="1">
      <alignment horizontal="center" vertical="justify" wrapText="1"/>
    </xf>
    <xf numFmtId="2" fontId="2" fillId="0" borderId="45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/>
    </xf>
    <xf numFmtId="3" fontId="11" fillId="0" borderId="27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165" fontId="12" fillId="0" borderId="44" xfId="0" applyNumberFormat="1" applyFont="1" applyBorder="1" applyAlignment="1">
      <alignment horizontal="left"/>
    </xf>
    <xf numFmtId="165" fontId="12" fillId="0" borderId="55" xfId="0" applyNumberFormat="1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165" fontId="12" fillId="0" borderId="58" xfId="0" applyNumberFormat="1" applyFont="1" applyFill="1" applyBorder="1" applyAlignment="1">
      <alignment horizontal="right"/>
    </xf>
    <xf numFmtId="165" fontId="12" fillId="0" borderId="55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 vertical="justify" wrapText="1"/>
    </xf>
    <xf numFmtId="1" fontId="2" fillId="0" borderId="38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/>
    </xf>
    <xf numFmtId="2" fontId="85" fillId="0" borderId="11" xfId="0" applyNumberFormat="1" applyFont="1" applyBorder="1" applyAlignment="1">
      <alignment horizontal="left" vertical="center"/>
    </xf>
    <xf numFmtId="2" fontId="85" fillId="0" borderId="10" xfId="0" applyNumberFormat="1" applyFont="1" applyBorder="1" applyAlignment="1">
      <alignment horizontal="left" vertical="center"/>
    </xf>
    <xf numFmtId="2" fontId="85" fillId="0" borderId="40" xfId="0" applyNumberFormat="1" applyFont="1" applyBorder="1" applyAlignment="1">
      <alignment horizontal="left"/>
    </xf>
    <xf numFmtId="2" fontId="85" fillId="0" borderId="14" xfId="44" applyNumberFormat="1" applyFont="1" applyBorder="1" applyAlignment="1">
      <alignment horizontal="left"/>
    </xf>
    <xf numFmtId="2" fontId="87" fillId="0" borderId="14" xfId="0" applyNumberFormat="1" applyFont="1" applyBorder="1" applyAlignment="1">
      <alignment horizontal="left"/>
    </xf>
    <xf numFmtId="2" fontId="85" fillId="0" borderId="14" xfId="0" applyNumberFormat="1" applyFont="1" applyFill="1" applyBorder="1" applyAlignment="1">
      <alignment horizontal="left"/>
    </xf>
    <xf numFmtId="2" fontId="85" fillId="0" borderId="14" xfId="42" applyNumberFormat="1" applyFont="1" applyBorder="1" applyAlignment="1">
      <alignment horizontal="left"/>
    </xf>
    <xf numFmtId="10" fontId="85" fillId="0" borderId="14" xfId="0" applyNumberFormat="1" applyFont="1" applyBorder="1" applyAlignment="1">
      <alignment horizontal="left"/>
    </xf>
    <xf numFmtId="10" fontId="85" fillId="0" borderId="40" xfId="0" applyNumberFormat="1" applyFont="1" applyBorder="1" applyAlignment="1">
      <alignment horizontal="left"/>
    </xf>
    <xf numFmtId="10" fontId="85" fillId="0" borderId="14" xfId="44" applyNumberFormat="1" applyFont="1" applyBorder="1" applyAlignment="1">
      <alignment horizontal="left"/>
    </xf>
    <xf numFmtId="2" fontId="85" fillId="0" borderId="43" xfId="0" applyNumberFormat="1" applyFont="1" applyBorder="1" applyAlignment="1">
      <alignment horizontal="left" vertical="center"/>
    </xf>
    <xf numFmtId="2" fontId="85" fillId="0" borderId="21" xfId="0" applyNumberFormat="1" applyFont="1" applyBorder="1" applyAlignment="1">
      <alignment horizontal="left" vertical="center"/>
    </xf>
    <xf numFmtId="10" fontId="85" fillId="0" borderId="43" xfId="0" applyNumberFormat="1" applyFont="1" applyBorder="1" applyAlignment="1">
      <alignment horizontal="left"/>
    </xf>
    <xf numFmtId="0" fontId="84" fillId="0" borderId="46" xfId="0" applyFont="1" applyBorder="1" applyAlignment="1">
      <alignment horizontal="left" vertical="center"/>
    </xf>
    <xf numFmtId="10" fontId="85" fillId="0" borderId="22" xfId="0" applyNumberFormat="1" applyFont="1" applyBorder="1" applyAlignment="1">
      <alignment horizontal="left"/>
    </xf>
    <xf numFmtId="10" fontId="85" fillId="0" borderId="21" xfId="0" applyNumberFormat="1" applyFont="1" applyBorder="1" applyAlignment="1">
      <alignment horizontal="left"/>
    </xf>
    <xf numFmtId="10" fontId="85" fillId="0" borderId="64" xfId="0" applyNumberFormat="1" applyFont="1" applyBorder="1" applyAlignment="1">
      <alignment horizontal="left"/>
    </xf>
    <xf numFmtId="10" fontId="85" fillId="0" borderId="13" xfId="0" applyNumberFormat="1" applyFont="1" applyBorder="1" applyAlignment="1">
      <alignment horizontal="left"/>
    </xf>
    <xf numFmtId="2" fontId="85" fillId="0" borderId="43" xfId="44" applyNumberFormat="1" applyFont="1" applyBorder="1" applyAlignment="1">
      <alignment horizontal="left"/>
    </xf>
    <xf numFmtId="2" fontId="85" fillId="0" borderId="13" xfId="44" applyNumberFormat="1" applyFont="1" applyBorder="1" applyAlignment="1">
      <alignment horizontal="left"/>
    </xf>
    <xf numFmtId="2" fontId="85" fillId="0" borderId="21" xfId="44" applyNumberFormat="1" applyFont="1" applyBorder="1" applyAlignment="1">
      <alignment horizontal="left"/>
    </xf>
    <xf numFmtId="2" fontId="85" fillId="0" borderId="22" xfId="44" applyNumberFormat="1" applyFont="1" applyBorder="1" applyAlignment="1">
      <alignment horizontal="left"/>
    </xf>
    <xf numFmtId="2" fontId="87" fillId="0" borderId="22" xfId="0" applyNumberFormat="1" applyFont="1" applyBorder="1" applyAlignment="1">
      <alignment horizontal="left"/>
    </xf>
    <xf numFmtId="2" fontId="87" fillId="0" borderId="13" xfId="0" applyNumberFormat="1" applyFont="1" applyBorder="1" applyAlignment="1">
      <alignment horizontal="left"/>
    </xf>
    <xf numFmtId="2" fontId="87" fillId="0" borderId="21" xfId="0" applyNumberFormat="1" applyFont="1" applyBorder="1" applyAlignment="1">
      <alignment horizontal="left"/>
    </xf>
    <xf numFmtId="2" fontId="85" fillId="0" borderId="22" xfId="0" applyNumberFormat="1" applyFont="1" applyFill="1" applyBorder="1" applyAlignment="1">
      <alignment horizontal="left"/>
    </xf>
    <xf numFmtId="2" fontId="85" fillId="0" borderId="22" xfId="42" applyNumberFormat="1" applyFont="1" applyBorder="1" applyAlignment="1">
      <alignment horizontal="left"/>
    </xf>
    <xf numFmtId="1" fontId="84" fillId="0" borderId="86" xfId="0" applyNumberFormat="1" applyFont="1" applyBorder="1" applyAlignment="1">
      <alignment horizontal="left" vertical="center"/>
    </xf>
    <xf numFmtId="2" fontId="84" fillId="0" borderId="6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1" fontId="89" fillId="0" borderId="0" xfId="0" applyNumberFormat="1" applyFont="1" applyAlignment="1">
      <alignment horizontal="justify" vertical="justify" wrapText="1"/>
    </xf>
    <xf numFmtId="0" fontId="104" fillId="0" borderId="60" xfId="0" applyFont="1" applyBorder="1" applyAlignment="1">
      <alignment horizontal="left"/>
    </xf>
    <xf numFmtId="0" fontId="104" fillId="0" borderId="43" xfId="0" applyFont="1" applyBorder="1" applyAlignment="1">
      <alignment horizontal="left"/>
    </xf>
    <xf numFmtId="2" fontId="102" fillId="0" borderId="11" xfId="0" applyNumberFormat="1" applyFont="1" applyBorder="1" applyAlignment="1">
      <alignment horizontal="left" vertical="center"/>
    </xf>
    <xf numFmtId="2" fontId="102" fillId="0" borderId="43" xfId="0" applyNumberFormat="1" applyFont="1" applyBorder="1" applyAlignment="1">
      <alignment horizontal="left" vertical="center"/>
    </xf>
    <xf numFmtId="2" fontId="86" fillId="0" borderId="11" xfId="0" applyNumberFormat="1" applyFont="1" applyBorder="1" applyAlignment="1">
      <alignment horizontal="left"/>
    </xf>
    <xf numFmtId="2" fontId="84" fillId="0" borderId="14" xfId="0" applyNumberFormat="1" applyFont="1" applyFill="1" applyBorder="1" applyAlignment="1">
      <alignment horizontal="left"/>
    </xf>
    <xf numFmtId="0" fontId="104" fillId="0" borderId="29" xfId="0" applyFont="1" applyBorder="1" applyAlignment="1">
      <alignment horizontal="left"/>
    </xf>
    <xf numFmtId="0" fontId="104" fillId="0" borderId="28" xfId="0" applyFont="1" applyBorder="1" applyAlignment="1">
      <alignment horizontal="left"/>
    </xf>
    <xf numFmtId="165" fontId="94" fillId="0" borderId="44" xfId="0" applyNumberFormat="1" applyFont="1" applyBorder="1" applyAlignment="1">
      <alignment horizontal="left"/>
    </xf>
    <xf numFmtId="165" fontId="94" fillId="0" borderId="45" xfId="0" applyNumberFormat="1" applyFont="1" applyBorder="1" applyAlignment="1">
      <alignment horizontal="left"/>
    </xf>
    <xf numFmtId="165" fontId="94" fillId="0" borderId="11" xfId="0" applyNumberFormat="1" applyFont="1" applyBorder="1" applyAlignment="1">
      <alignment horizontal="left"/>
    </xf>
    <xf numFmtId="165" fontId="94" fillId="0" borderId="10" xfId="0" applyNumberFormat="1" applyFont="1" applyBorder="1" applyAlignment="1">
      <alignment horizontal="left"/>
    </xf>
    <xf numFmtId="0" fontId="94" fillId="0" borderId="11" xfId="0" applyFont="1" applyBorder="1" applyAlignment="1">
      <alignment horizontal="left"/>
    </xf>
    <xf numFmtId="0" fontId="94" fillId="0" borderId="10" xfId="0" applyFont="1" applyBorder="1" applyAlignment="1">
      <alignment horizontal="left"/>
    </xf>
    <xf numFmtId="2" fontId="84" fillId="0" borderId="15" xfId="42" applyNumberFormat="1" applyFont="1" applyBorder="1" applyAlignment="1">
      <alignment horizontal="left"/>
    </xf>
    <xf numFmtId="2" fontId="102" fillId="0" borderId="40" xfId="42" applyNumberFormat="1" applyFont="1" applyBorder="1" applyAlignment="1">
      <alignment horizontal="left"/>
    </xf>
    <xf numFmtId="2" fontId="102" fillId="0" borderId="64" xfId="42" applyNumberFormat="1" applyFont="1" applyBorder="1" applyAlignment="1">
      <alignment horizontal="left"/>
    </xf>
    <xf numFmtId="2" fontId="84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left"/>
    </xf>
    <xf numFmtId="0" fontId="4" fillId="0" borderId="72" xfId="0" applyFont="1" applyBorder="1" applyAlignment="1">
      <alignment horizontal="left" vertical="justify" wrapText="1"/>
    </xf>
    <xf numFmtId="0" fontId="4" fillId="0" borderId="70" xfId="0" applyFont="1" applyBorder="1" applyAlignment="1">
      <alignment horizontal="left" vertical="justify" wrapText="1"/>
    </xf>
    <xf numFmtId="0" fontId="4" fillId="0" borderId="71" xfId="0" applyFont="1" applyBorder="1" applyAlignment="1">
      <alignment horizontal="left" vertical="justify" wrapText="1"/>
    </xf>
    <xf numFmtId="0" fontId="10" fillId="0" borderId="58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4" fillId="0" borderId="47" xfId="0" applyFont="1" applyBorder="1" applyAlignment="1">
      <alignment horizontal="left" vertical="justify" wrapText="1"/>
    </xf>
    <xf numFmtId="0" fontId="4" fillId="0" borderId="79" xfId="0" applyFont="1" applyBorder="1" applyAlignment="1">
      <alignment horizontal="left" vertical="justify" wrapText="1"/>
    </xf>
    <xf numFmtId="0" fontId="4" fillId="0" borderId="83" xfId="0" applyFont="1" applyBorder="1" applyAlignment="1">
      <alignment horizontal="left" vertical="justify" wrapText="1"/>
    </xf>
    <xf numFmtId="0" fontId="4" fillId="0" borderId="84" xfId="0" applyFont="1" applyBorder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69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5" fontId="6" fillId="0" borderId="12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5" fontId="13" fillId="0" borderId="11" xfId="0" applyNumberFormat="1" applyFont="1" applyBorder="1" applyAlignment="1">
      <alignment horizontal="left"/>
    </xf>
    <xf numFmtId="165" fontId="13" fillId="0" borderId="12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13" fillId="0" borderId="11" xfId="0" applyNumberFormat="1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165" fontId="13" fillId="0" borderId="43" xfId="0" applyNumberFormat="1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3" fontId="13" fillId="0" borderId="21" xfId="0" applyNumberFormat="1" applyFont="1" applyBorder="1" applyAlignment="1">
      <alignment horizontal="left"/>
    </xf>
    <xf numFmtId="165" fontId="13" fillId="0" borderId="22" xfId="0" applyNumberFormat="1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112" fillId="0" borderId="78" xfId="0" applyFont="1" applyBorder="1" applyAlignment="1">
      <alignment/>
    </xf>
    <xf numFmtId="0" fontId="112" fillId="0" borderId="83" xfId="0" applyFont="1" applyBorder="1" applyAlignment="1">
      <alignment horizontal="left"/>
    </xf>
    <xf numFmtId="0" fontId="112" fillId="0" borderId="84" xfId="0" applyFont="1" applyBorder="1" applyAlignment="1">
      <alignment horizontal="left"/>
    </xf>
    <xf numFmtId="0" fontId="112" fillId="0" borderId="78" xfId="0" applyFont="1" applyBorder="1" applyAlignment="1">
      <alignment horizontal="left"/>
    </xf>
    <xf numFmtId="0" fontId="112" fillId="0" borderId="10" xfId="0" applyFont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112" fillId="0" borderId="0" xfId="0" applyFont="1" applyAlignment="1">
      <alignment/>
    </xf>
    <xf numFmtId="0" fontId="127" fillId="0" borderId="0" xfId="0" applyFont="1" applyAlignment="1">
      <alignment/>
    </xf>
    <xf numFmtId="0" fontId="109" fillId="0" borderId="77" xfId="0" applyFont="1" applyBorder="1" applyAlignment="1">
      <alignment horizontal="left"/>
    </xf>
    <xf numFmtId="0" fontId="110" fillId="0" borderId="76" xfId="0" applyFont="1" applyFill="1" applyBorder="1" applyAlignment="1">
      <alignment horizontal="left" vertical="justify" wrapText="1"/>
    </xf>
    <xf numFmtId="0" fontId="110" fillId="0" borderId="75" xfId="0" applyFont="1" applyFill="1" applyBorder="1" applyAlignment="1">
      <alignment horizontal="left" vertical="justify" wrapText="1"/>
    </xf>
    <xf numFmtId="0" fontId="96" fillId="0" borderId="54" xfId="0" applyFont="1" applyBorder="1" applyAlignment="1">
      <alignment horizontal="left"/>
    </xf>
    <xf numFmtId="1" fontId="84" fillId="0" borderId="67" xfId="0" applyNumberFormat="1" applyFont="1" applyBorder="1" applyAlignment="1">
      <alignment vertical="center" wrapText="1"/>
    </xf>
    <xf numFmtId="1" fontId="84" fillId="0" borderId="67" xfId="0" applyNumberFormat="1" applyFont="1" applyFill="1" applyBorder="1" applyAlignment="1">
      <alignment vertical="center" wrapText="1"/>
    </xf>
    <xf numFmtId="0" fontId="84" fillId="0" borderId="66" xfId="0" applyFont="1" applyBorder="1" applyAlignment="1">
      <alignment vertical="center" wrapText="1"/>
    </xf>
    <xf numFmtId="1" fontId="84" fillId="0" borderId="77" xfId="0" applyNumberFormat="1" applyFont="1" applyBorder="1" applyAlignment="1">
      <alignment vertical="justify" wrapText="1"/>
    </xf>
    <xf numFmtId="1" fontId="84" fillId="0" borderId="53" xfId="0" applyNumberFormat="1" applyFont="1" applyFill="1" applyBorder="1" applyAlignment="1">
      <alignment vertical="center" wrapText="1"/>
    </xf>
    <xf numFmtId="0" fontId="89" fillId="0" borderId="37" xfId="0" applyFont="1" applyBorder="1" applyAlignment="1">
      <alignment horizontal="left"/>
    </xf>
    <xf numFmtId="0" fontId="89" fillId="0" borderId="20" xfId="0" applyFont="1" applyBorder="1" applyAlignment="1">
      <alignment horizontal="left"/>
    </xf>
    <xf numFmtId="0" fontId="89" fillId="0" borderId="73" xfId="0" applyFont="1" applyBorder="1" applyAlignment="1">
      <alignment horizontal="left"/>
    </xf>
    <xf numFmtId="0" fontId="90" fillId="0" borderId="24" xfId="0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0" fontId="119" fillId="0" borderId="24" xfId="0" applyFont="1" applyBorder="1" applyAlignment="1">
      <alignment horizontal="left"/>
    </xf>
    <xf numFmtId="0" fontId="119" fillId="0" borderId="26" xfId="0" applyFont="1" applyBorder="1" applyAlignment="1">
      <alignment horizontal="left"/>
    </xf>
    <xf numFmtId="0" fontId="119" fillId="0" borderId="25" xfId="0" applyFont="1" applyBorder="1" applyAlignment="1">
      <alignment horizontal="left"/>
    </xf>
    <xf numFmtId="0" fontId="119" fillId="0" borderId="54" xfId="0" applyFont="1" applyBorder="1" applyAlignment="1">
      <alignment horizontal="left"/>
    </xf>
    <xf numFmtId="0" fontId="119" fillId="0" borderId="59" xfId="0" applyFont="1" applyBorder="1" applyAlignment="1">
      <alignment horizontal="left"/>
    </xf>
    <xf numFmtId="0" fontId="89" fillId="0" borderId="63" xfId="0" applyFont="1" applyBorder="1" applyAlignment="1">
      <alignment horizontal="left"/>
    </xf>
    <xf numFmtId="0" fontId="0" fillId="0" borderId="0" xfId="0" applyAlignment="1">
      <alignment horizontal="left"/>
    </xf>
    <xf numFmtId="0" fontId="119" fillId="0" borderId="40" xfId="0" applyFont="1" applyBorder="1" applyAlignment="1">
      <alignment horizontal="left"/>
    </xf>
    <xf numFmtId="2" fontId="91" fillId="0" borderId="24" xfId="0" applyNumberFormat="1" applyFont="1" applyBorder="1" applyAlignment="1">
      <alignment horizontal="left" vertical="center"/>
    </xf>
    <xf numFmtId="2" fontId="91" fillId="0" borderId="26" xfId="0" applyNumberFormat="1" applyFont="1" applyBorder="1" applyAlignment="1">
      <alignment horizontal="left"/>
    </xf>
    <xf numFmtId="2" fontId="91" fillId="0" borderId="26" xfId="42" applyNumberFormat="1" applyFont="1" applyBorder="1" applyAlignment="1">
      <alignment horizontal="left"/>
    </xf>
    <xf numFmtId="0" fontId="119" fillId="0" borderId="0" xfId="0" applyFont="1" applyAlignment="1">
      <alignment horizontal="left"/>
    </xf>
    <xf numFmtId="1" fontId="84" fillId="0" borderId="22" xfId="0" applyNumberFormat="1" applyFont="1" applyBorder="1" applyAlignment="1">
      <alignment horizontal="left"/>
    </xf>
    <xf numFmtId="1" fontId="85" fillId="0" borderId="11" xfId="0" applyNumberFormat="1" applyFont="1" applyBorder="1" applyAlignment="1">
      <alignment horizontal="left"/>
    </xf>
    <xf numFmtId="1" fontId="84" fillId="0" borderId="43" xfId="0" applyNumberFormat="1" applyFont="1" applyBorder="1" applyAlignment="1">
      <alignment horizontal="left"/>
    </xf>
    <xf numFmtId="1" fontId="2" fillId="0" borderId="44" xfId="0" applyNumberFormat="1" applyFont="1" applyBorder="1" applyAlignment="1">
      <alignment horizontal="left" vertical="center"/>
    </xf>
    <xf numFmtId="1" fontId="2" fillId="0" borderId="55" xfId="0" applyNumberFormat="1" applyFont="1" applyBorder="1" applyAlignment="1">
      <alignment horizontal="left" vertical="center"/>
    </xf>
    <xf numFmtId="1" fontId="2" fillId="0" borderId="58" xfId="0" applyNumberFormat="1" applyFont="1" applyBorder="1" applyAlignment="1">
      <alignment horizontal="left" vertical="center"/>
    </xf>
    <xf numFmtId="0" fontId="4" fillId="0" borderId="82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left" vertical="center"/>
    </xf>
    <xf numFmtId="2" fontId="85" fillId="0" borderId="51" xfId="0" applyNumberFormat="1" applyFont="1" applyBorder="1" applyAlignment="1">
      <alignment horizontal="left"/>
    </xf>
    <xf numFmtId="1" fontId="85" fillId="0" borderId="44" xfId="0" applyNumberFormat="1" applyFont="1" applyBorder="1" applyAlignment="1">
      <alignment horizontal="left"/>
    </xf>
    <xf numFmtId="1" fontId="85" fillId="0" borderId="55" xfId="0" applyNumberFormat="1" applyFont="1" applyBorder="1" applyAlignment="1">
      <alignment horizontal="left"/>
    </xf>
    <xf numFmtId="1" fontId="85" fillId="0" borderId="58" xfId="0" applyNumberFormat="1" applyFont="1" applyBorder="1" applyAlignment="1">
      <alignment horizontal="left"/>
    </xf>
    <xf numFmtId="1" fontId="85" fillId="0" borderId="48" xfId="0" applyNumberFormat="1" applyFont="1" applyBorder="1" applyAlignment="1">
      <alignment horizontal="left"/>
    </xf>
    <xf numFmtId="1" fontId="85" fillId="0" borderId="49" xfId="0" applyNumberFormat="1" applyFont="1" applyBorder="1" applyAlignment="1">
      <alignment horizontal="left"/>
    </xf>
    <xf numFmtId="1" fontId="85" fillId="0" borderId="52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 vertical="center"/>
    </xf>
    <xf numFmtId="0" fontId="110" fillId="0" borderId="74" xfId="0" applyFont="1" applyBorder="1" applyAlignment="1">
      <alignment horizontal="center" vertical="justify" wrapText="1"/>
    </xf>
    <xf numFmtId="0" fontId="84" fillId="0" borderId="19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110" fillId="0" borderId="83" xfId="0" applyFont="1" applyBorder="1" applyAlignment="1">
      <alignment horizontal="center" vertical="justify" wrapText="1"/>
    </xf>
    <xf numFmtId="0" fontId="110" fillId="0" borderId="84" xfId="0" applyFont="1" applyBorder="1" applyAlignment="1">
      <alignment horizontal="center" vertical="justify" wrapText="1"/>
    </xf>
    <xf numFmtId="1" fontId="84" fillId="0" borderId="19" xfId="0" applyNumberFormat="1" applyFont="1" applyBorder="1" applyAlignment="1">
      <alignment horizontal="center" vertical="center"/>
    </xf>
    <xf numFmtId="1" fontId="84" fillId="0" borderId="16" xfId="0" applyNumberFormat="1" applyFont="1" applyBorder="1" applyAlignment="1">
      <alignment horizontal="center" vertical="center"/>
    </xf>
    <xf numFmtId="1" fontId="84" fillId="0" borderId="39" xfId="0" applyNumberFormat="1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1" fontId="84" fillId="0" borderId="38" xfId="0" applyNumberFormat="1" applyFont="1" applyBorder="1" applyAlignment="1">
      <alignment horizontal="center" vertical="center"/>
    </xf>
    <xf numFmtId="1" fontId="85" fillId="0" borderId="38" xfId="0" applyNumberFormat="1" applyFont="1" applyBorder="1" applyAlignment="1">
      <alignment horizontal="center" vertical="justify" wrapText="1"/>
    </xf>
    <xf numFmtId="1" fontId="84" fillId="0" borderId="16" xfId="0" applyNumberFormat="1" applyFont="1" applyBorder="1" applyAlignment="1">
      <alignment horizontal="center" vertical="justify" wrapText="1"/>
    </xf>
    <xf numFmtId="1" fontId="84" fillId="0" borderId="18" xfId="0" applyNumberFormat="1" applyFont="1" applyBorder="1" applyAlignment="1">
      <alignment horizontal="center" vertical="justify" wrapText="1"/>
    </xf>
    <xf numFmtId="0" fontId="110" fillId="0" borderId="67" xfId="0" applyFont="1" applyBorder="1" applyAlignment="1">
      <alignment horizontal="center" vertical="justify" wrapText="1"/>
    </xf>
    <xf numFmtId="1" fontId="85" fillId="0" borderId="19" xfId="0" applyNumberFormat="1" applyFont="1" applyBorder="1" applyAlignment="1">
      <alignment horizontal="center" vertical="justify" wrapText="1"/>
    </xf>
    <xf numFmtId="0" fontId="85" fillId="0" borderId="0" xfId="0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94" fillId="0" borderId="10" xfId="0" applyNumberFormat="1" applyFont="1" applyBorder="1" applyAlignment="1">
      <alignment horizontal="left"/>
    </xf>
    <xf numFmtId="2" fontId="84" fillId="0" borderId="26" xfId="42" applyNumberFormat="1" applyFont="1" applyBorder="1" applyAlignment="1">
      <alignment horizontal="left"/>
    </xf>
    <xf numFmtId="2" fontId="84" fillId="0" borderId="40" xfId="0" applyNumberFormat="1" applyFont="1" applyFill="1" applyBorder="1" applyAlignment="1">
      <alignment horizontal="left"/>
    </xf>
    <xf numFmtId="2" fontId="84" fillId="0" borderId="26" xfId="0" applyNumberFormat="1" applyFont="1" applyFill="1" applyBorder="1" applyAlignment="1">
      <alignment horizontal="left"/>
    </xf>
    <xf numFmtId="2" fontId="84" fillId="0" borderId="12" xfId="0" applyNumberFormat="1" applyFont="1" applyFill="1" applyBorder="1" applyAlignment="1">
      <alignment horizontal="left"/>
    </xf>
    <xf numFmtId="0" fontId="4" fillId="0" borderId="83" xfId="0" applyFont="1" applyBorder="1" applyAlignment="1">
      <alignment horizontal="center" vertical="justify" wrapText="1"/>
    </xf>
    <xf numFmtId="0" fontId="119" fillId="0" borderId="56" xfId="0" applyFont="1" applyBorder="1" applyAlignment="1">
      <alignment horizontal="center"/>
    </xf>
    <xf numFmtId="0" fontId="119" fillId="0" borderId="58" xfId="0" applyFont="1" applyBorder="1" applyAlignment="1">
      <alignment horizontal="center"/>
    </xf>
    <xf numFmtId="0" fontId="119" fillId="0" borderId="45" xfId="0" applyFont="1" applyBorder="1" applyAlignment="1">
      <alignment horizontal="center"/>
    </xf>
    <xf numFmtId="1" fontId="93" fillId="0" borderId="66" xfId="0" applyNumberFormat="1" applyFont="1" applyBorder="1" applyAlignment="1">
      <alignment horizontal="left" vertical="center" wrapText="1"/>
    </xf>
    <xf numFmtId="0" fontId="93" fillId="0" borderId="77" xfId="0" applyFont="1" applyBorder="1" applyAlignment="1">
      <alignment horizontal="left" vertical="center" wrapText="1"/>
    </xf>
    <xf numFmtId="1" fontId="84" fillId="0" borderId="68" xfId="0" applyNumberFormat="1" applyFont="1" applyBorder="1" applyAlignment="1">
      <alignment horizontal="justify" vertical="justify" wrapText="1"/>
    </xf>
    <xf numFmtId="2" fontId="84" fillId="0" borderId="40" xfId="0" applyNumberFormat="1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2" fontId="84" fillId="0" borderId="25" xfId="0" applyNumberFormat="1" applyFont="1" applyBorder="1" applyAlignment="1">
      <alignment horizontal="left"/>
    </xf>
    <xf numFmtId="1" fontId="91" fillId="0" borderId="24" xfId="0" applyNumberFormat="1" applyFont="1" applyBorder="1" applyAlignment="1">
      <alignment horizontal="left" vertical="center"/>
    </xf>
    <xf numFmtId="1" fontId="116" fillId="0" borderId="74" xfId="0" applyNumberFormat="1" applyFont="1" applyBorder="1" applyAlignment="1">
      <alignment horizontal="left"/>
    </xf>
    <xf numFmtId="1" fontId="90" fillId="0" borderId="31" xfId="0" applyNumberFormat="1" applyFont="1" applyBorder="1" applyAlignment="1">
      <alignment horizontal="left"/>
    </xf>
    <xf numFmtId="1" fontId="116" fillId="0" borderId="81" xfId="0" applyNumberFormat="1" applyFont="1" applyBorder="1" applyAlignment="1">
      <alignment horizontal="left"/>
    </xf>
    <xf numFmtId="1" fontId="89" fillId="0" borderId="17" xfId="0" applyNumberFormat="1" applyFont="1" applyBorder="1" applyAlignment="1">
      <alignment horizontal="left"/>
    </xf>
    <xf numFmtId="1" fontId="116" fillId="0" borderId="79" xfId="0" applyNumberFormat="1" applyFont="1" applyBorder="1" applyAlignment="1">
      <alignment horizontal="left"/>
    </xf>
    <xf numFmtId="1" fontId="90" fillId="0" borderId="15" xfId="0" applyNumberFormat="1" applyFont="1" applyFill="1" applyBorder="1" applyAlignment="1">
      <alignment horizontal="left"/>
    </xf>
    <xf numFmtId="1" fontId="90" fillId="0" borderId="32" xfId="0" applyNumberFormat="1" applyFont="1" applyFill="1" applyBorder="1" applyAlignment="1">
      <alignment horizontal="left"/>
    </xf>
    <xf numFmtId="0" fontId="112" fillId="0" borderId="43" xfId="0" applyFont="1" applyBorder="1" applyAlignment="1">
      <alignment horizontal="left"/>
    </xf>
    <xf numFmtId="1" fontId="90" fillId="0" borderId="31" xfId="42" applyNumberFormat="1" applyFont="1" applyBorder="1" applyAlignment="1">
      <alignment horizontal="left"/>
    </xf>
    <xf numFmtId="1" fontId="128" fillId="0" borderId="39" xfId="0" applyNumberFormat="1" applyFont="1" applyBorder="1" applyAlignment="1">
      <alignment horizontal="left"/>
    </xf>
    <xf numFmtId="1" fontId="128" fillId="0" borderId="15" xfId="0" applyNumberFormat="1" applyFont="1" applyBorder="1" applyAlignment="1">
      <alignment horizontal="left"/>
    </xf>
    <xf numFmtId="1" fontId="128" fillId="0" borderId="32" xfId="0" applyNumberFormat="1" applyFont="1" applyBorder="1" applyAlignment="1">
      <alignment horizontal="left"/>
    </xf>
    <xf numFmtId="1" fontId="90" fillId="0" borderId="31" xfId="0" applyNumberFormat="1" applyFont="1" applyFill="1" applyBorder="1" applyAlignment="1">
      <alignment horizontal="left"/>
    </xf>
    <xf numFmtId="1" fontId="128" fillId="0" borderId="38" xfId="0" applyNumberFormat="1" applyFont="1" applyBorder="1" applyAlignment="1">
      <alignment horizontal="left"/>
    </xf>
    <xf numFmtId="1" fontId="128" fillId="0" borderId="11" xfId="0" applyNumberFormat="1" applyFont="1" applyBorder="1" applyAlignment="1">
      <alignment horizontal="left"/>
    </xf>
    <xf numFmtId="1" fontId="90" fillId="0" borderId="17" xfId="0" applyNumberFormat="1" applyFont="1" applyBorder="1" applyAlignment="1">
      <alignment horizontal="left"/>
    </xf>
    <xf numFmtId="1" fontId="128" fillId="0" borderId="31" xfId="0" applyNumberFormat="1" applyFont="1" applyBorder="1" applyAlignment="1">
      <alignment horizontal="left"/>
    </xf>
    <xf numFmtId="1" fontId="90" fillId="0" borderId="40" xfId="0" applyNumberFormat="1" applyFont="1" applyBorder="1" applyAlignment="1">
      <alignment horizontal="left"/>
    </xf>
    <xf numFmtId="1" fontId="90" fillId="0" borderId="41" xfId="0" applyNumberFormat="1" applyFont="1" applyBorder="1" applyAlignment="1">
      <alignment horizontal="left"/>
    </xf>
    <xf numFmtId="1" fontId="126" fillId="0" borderId="75" xfId="0" applyNumberFormat="1" applyFont="1" applyBorder="1" applyAlignment="1">
      <alignment horizontal="left"/>
    </xf>
    <xf numFmtId="1" fontId="90" fillId="0" borderId="30" xfId="0" applyNumberFormat="1" applyFont="1" applyBorder="1" applyAlignment="1">
      <alignment horizontal="left"/>
    </xf>
    <xf numFmtId="1" fontId="117" fillId="0" borderId="78" xfId="0" applyNumberFormat="1" applyFont="1" applyFill="1" applyBorder="1" applyAlignment="1">
      <alignment horizontal="left"/>
    </xf>
    <xf numFmtId="1" fontId="90" fillId="0" borderId="31" xfId="0" applyNumberFormat="1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/>
    </xf>
    <xf numFmtId="0" fontId="4" fillId="0" borderId="79" xfId="0" applyFont="1" applyBorder="1" applyAlignment="1">
      <alignment horizontal="center" vertical="justify" wrapText="1"/>
    </xf>
    <xf numFmtId="0" fontId="4" fillId="0" borderId="84" xfId="0" applyFont="1" applyBorder="1" applyAlignment="1">
      <alignment horizontal="center" vertical="justify" wrapText="1"/>
    </xf>
    <xf numFmtId="0" fontId="4" fillId="0" borderId="78" xfId="0" applyFont="1" applyBorder="1" applyAlignment="1">
      <alignment horizontal="center" vertical="justify" wrapText="1"/>
    </xf>
    <xf numFmtId="0" fontId="94" fillId="0" borderId="47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94" fillId="0" borderId="54" xfId="0" applyFont="1" applyBorder="1" applyAlignment="1">
      <alignment horizontal="center"/>
    </xf>
    <xf numFmtId="0" fontId="119" fillId="0" borderId="56" xfId="0" applyFont="1" applyBorder="1" applyAlignment="1">
      <alignment horizontal="left"/>
    </xf>
    <xf numFmtId="0" fontId="119" fillId="0" borderId="62" xfId="0" applyFont="1" applyBorder="1" applyAlignment="1">
      <alignment horizontal="left"/>
    </xf>
    <xf numFmtId="1" fontId="84" fillId="0" borderId="24" xfId="0" applyNumberFormat="1" applyFont="1" applyBorder="1" applyAlignment="1">
      <alignment horizontal="left" vertical="center"/>
    </xf>
    <xf numFmtId="1" fontId="94" fillId="0" borderId="24" xfId="0" applyNumberFormat="1" applyFont="1" applyFill="1" applyBorder="1" applyAlignment="1">
      <alignment horizontal="left" vertical="top" wrapText="1"/>
    </xf>
    <xf numFmtId="1" fontId="84" fillId="0" borderId="10" xfId="44" applyNumberFormat="1" applyFont="1" applyBorder="1" applyAlignment="1">
      <alignment horizontal="left"/>
    </xf>
    <xf numFmtId="1" fontId="84" fillId="0" borderId="11" xfId="42" applyNumberFormat="1" applyFont="1" applyBorder="1" applyAlignment="1">
      <alignment horizontal="left"/>
    </xf>
    <xf numFmtId="1" fontId="84" fillId="0" borderId="24" xfId="42" applyNumberFormat="1" applyFont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1" fillId="0" borderId="87" xfId="0" applyFont="1" applyBorder="1" applyAlignment="1">
      <alignment horizontal="center" vertical="center"/>
    </xf>
    <xf numFmtId="0" fontId="91" fillId="0" borderId="82" xfId="0" applyFont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84" fillId="0" borderId="47" xfId="0" applyNumberFormat="1" applyFont="1" applyBorder="1" applyAlignment="1">
      <alignment horizontal="left" vertical="center"/>
    </xf>
    <xf numFmtId="1" fontId="84" fillId="0" borderId="24" xfId="0" applyNumberFormat="1" applyFont="1" applyBorder="1" applyAlignment="1">
      <alignment horizontal="left" vertical="center"/>
    </xf>
    <xf numFmtId="1" fontId="84" fillId="0" borderId="74" xfId="0" applyNumberFormat="1" applyFont="1" applyFill="1" applyBorder="1" applyAlignment="1">
      <alignment horizontal="center" vertical="justify" wrapText="1"/>
    </xf>
    <xf numFmtId="1" fontId="84" fillId="0" borderId="76" xfId="0" applyNumberFormat="1" applyFont="1" applyFill="1" applyBorder="1" applyAlignment="1">
      <alignment horizontal="center" vertical="justify" wrapText="1"/>
    </xf>
    <xf numFmtId="1" fontId="84" fillId="0" borderId="74" xfId="0" applyNumberFormat="1" applyFont="1" applyBorder="1" applyAlignment="1">
      <alignment horizontal="justify" vertical="justify" wrapText="1"/>
    </xf>
    <xf numFmtId="1" fontId="84" fillId="0" borderId="76" xfId="0" applyNumberFormat="1" applyFont="1" applyBorder="1" applyAlignment="1">
      <alignment horizontal="justify" vertical="justify" wrapText="1"/>
    </xf>
    <xf numFmtId="1" fontId="84" fillId="0" borderId="74" xfId="0" applyNumberFormat="1" applyFont="1" applyBorder="1" applyAlignment="1">
      <alignment horizontal="center" vertical="justify" wrapText="1"/>
    </xf>
    <xf numFmtId="1" fontId="84" fillId="0" borderId="76" xfId="0" applyNumberFormat="1" applyFont="1" applyBorder="1" applyAlignment="1">
      <alignment horizontal="center" vertical="justify" wrapText="1"/>
    </xf>
    <xf numFmtId="0" fontId="84" fillId="0" borderId="68" xfId="0" applyFont="1" applyFill="1" applyBorder="1" applyAlignment="1">
      <alignment horizontal="center" vertical="justify" wrapText="1"/>
    </xf>
    <xf numFmtId="0" fontId="84" fillId="0" borderId="56" xfId="0" applyFont="1" applyFill="1" applyBorder="1" applyAlignment="1">
      <alignment horizontal="center" vertical="justify" wrapText="1"/>
    </xf>
    <xf numFmtId="0" fontId="84" fillId="0" borderId="62" xfId="0" applyFont="1" applyBorder="1" applyAlignment="1">
      <alignment horizontal="center" vertical="justify" wrapText="1"/>
    </xf>
    <xf numFmtId="0" fontId="84" fillId="0" borderId="56" xfId="0" applyFont="1" applyBorder="1" applyAlignment="1">
      <alignment horizontal="center" vertical="justify" wrapText="1"/>
    </xf>
    <xf numFmtId="0" fontId="119" fillId="0" borderId="0" xfId="0" applyFont="1" applyFill="1" applyBorder="1" applyAlignment="1">
      <alignment horizontal="left"/>
    </xf>
    <xf numFmtId="0" fontId="122" fillId="0" borderId="0" xfId="0" applyFont="1" applyBorder="1" applyAlignment="1">
      <alignment horizontal="left"/>
    </xf>
    <xf numFmtId="0" fontId="129" fillId="0" borderId="53" xfId="0" applyFont="1" applyBorder="1" applyAlignment="1">
      <alignment horizontal="center" vertical="center"/>
    </xf>
    <xf numFmtId="0" fontId="129" fillId="0" borderId="61" xfId="0" applyFont="1" applyBorder="1" applyAlignment="1">
      <alignment horizontal="center" vertical="center"/>
    </xf>
    <xf numFmtId="0" fontId="84" fillId="0" borderId="68" xfId="0" applyFont="1" applyBorder="1" applyAlignment="1">
      <alignment horizontal="center" vertical="justify" wrapText="1"/>
    </xf>
    <xf numFmtId="0" fontId="84" fillId="0" borderId="68" xfId="0" applyFont="1" applyFill="1" applyBorder="1" applyAlignment="1">
      <alignment horizontal="justify" vertical="justify" wrapText="1"/>
    </xf>
    <xf numFmtId="0" fontId="84" fillId="0" borderId="56" xfId="0" applyFont="1" applyFill="1" applyBorder="1" applyAlignment="1">
      <alignment horizontal="justify" vertical="justify" wrapText="1"/>
    </xf>
    <xf numFmtId="1" fontId="93" fillId="0" borderId="74" xfId="0" applyNumberFormat="1" applyFont="1" applyFill="1" applyBorder="1" applyAlignment="1">
      <alignment horizontal="center" vertical="justify" wrapText="1"/>
    </xf>
    <xf numFmtId="1" fontId="93" fillId="0" borderId="76" xfId="0" applyNumberFormat="1" applyFont="1" applyFill="1" applyBorder="1" applyAlignment="1">
      <alignment horizontal="center" vertical="justify" wrapText="1"/>
    </xf>
    <xf numFmtId="1" fontId="93" fillId="0" borderId="74" xfId="0" applyNumberFormat="1" applyFont="1" applyBorder="1" applyAlignment="1">
      <alignment horizontal="justify" vertical="justify" wrapText="1"/>
    </xf>
    <xf numFmtId="1" fontId="93" fillId="0" borderId="75" xfId="0" applyNumberFormat="1" applyFont="1" applyBorder="1" applyAlignment="1">
      <alignment horizontal="justify" vertical="justify" wrapText="1"/>
    </xf>
    <xf numFmtId="1" fontId="93" fillId="0" borderId="74" xfId="0" applyNumberFormat="1" applyFont="1" applyBorder="1" applyAlignment="1">
      <alignment horizontal="center" vertical="justify" wrapText="1"/>
    </xf>
    <xf numFmtId="1" fontId="93" fillId="0" borderId="75" xfId="0" applyNumberFormat="1" applyFont="1" applyBorder="1" applyAlignment="1">
      <alignment horizontal="center" vertical="justify" wrapText="1"/>
    </xf>
    <xf numFmtId="1" fontId="93" fillId="0" borderId="75" xfId="0" applyNumberFormat="1" applyFont="1" applyFill="1" applyBorder="1" applyAlignment="1">
      <alignment horizontal="center" vertical="justify" wrapText="1"/>
    </xf>
    <xf numFmtId="1" fontId="93" fillId="0" borderId="76" xfId="0" applyNumberFormat="1" applyFont="1" applyBorder="1" applyAlignment="1">
      <alignment horizontal="center" vertical="justify" wrapText="1"/>
    </xf>
    <xf numFmtId="1" fontId="93" fillId="0" borderId="74" xfId="0" applyNumberFormat="1" applyFont="1" applyFill="1" applyBorder="1" applyAlignment="1">
      <alignment horizontal="justify" vertical="justify" wrapText="1"/>
    </xf>
    <xf numFmtId="1" fontId="93" fillId="0" borderId="75" xfId="0" applyNumberFormat="1" applyFont="1" applyFill="1" applyBorder="1" applyAlignment="1">
      <alignment horizontal="justify" vertical="justify" wrapText="1"/>
    </xf>
    <xf numFmtId="1" fontId="93" fillId="0" borderId="76" xfId="0" applyNumberFormat="1" applyFont="1" applyBorder="1" applyAlignment="1">
      <alignment horizontal="justify" vertical="justify" wrapText="1"/>
    </xf>
    <xf numFmtId="1" fontId="119" fillId="0" borderId="0" xfId="0" applyNumberFormat="1" applyFont="1" applyFill="1" applyBorder="1" applyAlignment="1">
      <alignment horizontal="left"/>
    </xf>
    <xf numFmtId="1" fontId="122" fillId="0" borderId="0" xfId="0" applyNumberFormat="1" applyFont="1" applyBorder="1" applyAlignment="1">
      <alignment horizontal="left"/>
    </xf>
    <xf numFmtId="1" fontId="91" fillId="0" borderId="32" xfId="0" applyNumberFormat="1" applyFont="1" applyBorder="1" applyAlignment="1">
      <alignment horizontal="left" vertical="center"/>
    </xf>
    <xf numFmtId="1" fontId="91" fillId="0" borderId="88" xfId="0" applyNumberFormat="1" applyFont="1" applyBorder="1" applyAlignment="1">
      <alignment horizontal="left" vertical="center"/>
    </xf>
    <xf numFmtId="1" fontId="93" fillId="0" borderId="68" xfId="0" applyNumberFormat="1" applyFont="1" applyFill="1" applyBorder="1" applyAlignment="1">
      <alignment horizontal="justify" vertical="justify" wrapText="1"/>
    </xf>
    <xf numFmtId="1" fontId="93" fillId="0" borderId="56" xfId="0" applyNumberFormat="1" applyFont="1" applyFill="1" applyBorder="1" applyAlignment="1">
      <alignment horizontal="justify" vertical="justify" wrapText="1"/>
    </xf>
    <xf numFmtId="1" fontId="93" fillId="0" borderId="62" xfId="0" applyNumberFormat="1" applyFont="1" applyFill="1" applyBorder="1" applyAlignment="1">
      <alignment horizontal="justify" vertical="justify" wrapText="1"/>
    </xf>
    <xf numFmtId="1" fontId="93" fillId="0" borderId="68" xfId="0" applyNumberFormat="1" applyFont="1" applyFill="1" applyBorder="1" applyAlignment="1">
      <alignment horizontal="center" vertical="justify" wrapText="1"/>
    </xf>
    <xf numFmtId="1" fontId="93" fillId="0" borderId="56" xfId="0" applyNumberFormat="1" applyFont="1" applyFill="1" applyBorder="1" applyAlignment="1">
      <alignment horizontal="center" vertical="justify" wrapText="1"/>
    </xf>
    <xf numFmtId="1" fontId="93" fillId="0" borderId="76" xfId="0" applyNumberFormat="1" applyFont="1" applyFill="1" applyBorder="1" applyAlignment="1">
      <alignment horizontal="justify" vertical="justify" wrapText="1"/>
    </xf>
    <xf numFmtId="0" fontId="88" fillId="0" borderId="0" xfId="0" applyFont="1" applyBorder="1" applyAlignment="1">
      <alignment horizontal="left"/>
    </xf>
    <xf numFmtId="0" fontId="129" fillId="0" borderId="68" xfId="0" applyFont="1" applyBorder="1" applyAlignment="1">
      <alignment horizontal="center" vertical="center"/>
    </xf>
    <xf numFmtId="0" fontId="129" fillId="0" borderId="64" xfId="0" applyFont="1" applyBorder="1" applyAlignment="1">
      <alignment horizontal="center" vertical="center"/>
    </xf>
    <xf numFmtId="0" fontId="84" fillId="0" borderId="75" xfId="0" applyFont="1" applyBorder="1" applyAlignment="1">
      <alignment horizontal="justify" vertical="justify" wrapText="1"/>
    </xf>
    <xf numFmtId="0" fontId="84" fillId="0" borderId="76" xfId="0" applyFont="1" applyBorder="1" applyAlignment="1">
      <alignment horizontal="justify" vertical="justify" wrapText="1"/>
    </xf>
    <xf numFmtId="1" fontId="84" fillId="0" borderId="75" xfId="0" applyNumberFormat="1" applyFont="1" applyBorder="1" applyAlignment="1">
      <alignment horizontal="justify" vertical="justify" wrapText="1"/>
    </xf>
    <xf numFmtId="0" fontId="84" fillId="0" borderId="74" xfId="0" applyFont="1" applyBorder="1" applyAlignment="1">
      <alignment horizontal="justify" vertical="justify" wrapText="1"/>
    </xf>
    <xf numFmtId="0" fontId="84" fillId="0" borderId="75" xfId="0" applyFont="1" applyFill="1" applyBorder="1" applyAlignment="1">
      <alignment horizontal="justify" vertical="justify" wrapText="1"/>
    </xf>
    <xf numFmtId="0" fontId="84" fillId="0" borderId="76" xfId="0" applyFont="1" applyFill="1" applyBorder="1" applyAlignment="1">
      <alignment horizontal="justify" vertical="justify" wrapText="1"/>
    </xf>
    <xf numFmtId="1" fontId="84" fillId="0" borderId="75" xfId="0" applyNumberFormat="1" applyFont="1" applyFill="1" applyBorder="1" applyAlignment="1">
      <alignment horizontal="justify" vertical="justify" wrapText="1"/>
    </xf>
    <xf numFmtId="1" fontId="84" fillId="0" borderId="76" xfId="0" applyNumberFormat="1" applyFont="1" applyFill="1" applyBorder="1" applyAlignment="1">
      <alignment horizontal="justify" vertical="justify" wrapText="1"/>
    </xf>
    <xf numFmtId="0" fontId="84" fillId="0" borderId="74" xfId="0" applyFont="1" applyBorder="1" applyAlignment="1">
      <alignment horizontal="center" vertical="justify" wrapText="1"/>
    </xf>
    <xf numFmtId="0" fontId="84" fillId="0" borderId="76" xfId="0" applyFont="1" applyBorder="1" applyAlignment="1">
      <alignment horizontal="center" vertical="justify" wrapText="1"/>
    </xf>
    <xf numFmtId="0" fontId="86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110" fillId="0" borderId="53" xfId="0" applyFont="1" applyBorder="1" applyAlignment="1">
      <alignment horizontal="center"/>
    </xf>
    <xf numFmtId="0" fontId="110" fillId="0" borderId="23" xfId="0" applyFont="1" applyBorder="1" applyAlignment="1">
      <alignment horizontal="center"/>
    </xf>
    <xf numFmtId="1" fontId="91" fillId="0" borderId="0" xfId="0" applyNumberFormat="1" applyFont="1" applyFill="1" applyBorder="1" applyAlignment="1">
      <alignment horizontal="left"/>
    </xf>
    <xf numFmtId="1" fontId="97" fillId="0" borderId="0" xfId="0" applyNumberFormat="1" applyFont="1" applyBorder="1" applyAlignment="1">
      <alignment horizontal="left"/>
    </xf>
    <xf numFmtId="1" fontId="84" fillId="0" borderId="44" xfId="0" applyNumberFormat="1" applyFont="1" applyBorder="1" applyAlignment="1">
      <alignment horizontal="justify" vertical="justify" wrapText="1"/>
    </xf>
    <xf numFmtId="1" fontId="84" fillId="0" borderId="55" xfId="0" applyNumberFormat="1" applyFont="1" applyBorder="1" applyAlignment="1">
      <alignment horizontal="justify" vertical="justify" wrapText="1"/>
    </xf>
    <xf numFmtId="1" fontId="84" fillId="0" borderId="45" xfId="0" applyNumberFormat="1" applyFont="1" applyBorder="1" applyAlignment="1">
      <alignment horizontal="justify" vertical="justify" wrapText="1"/>
    </xf>
    <xf numFmtId="1" fontId="84" fillId="0" borderId="58" xfId="0" applyNumberFormat="1" applyFont="1" applyBorder="1" applyAlignment="1">
      <alignment horizontal="justify" vertical="justify" wrapText="1"/>
    </xf>
    <xf numFmtId="1" fontId="84" fillId="0" borderId="57" xfId="0" applyNumberFormat="1" applyFont="1" applyBorder="1" applyAlignment="1">
      <alignment horizontal="justify" vertical="justify" wrapText="1"/>
    </xf>
    <xf numFmtId="1" fontId="84" fillId="0" borderId="68" xfId="0" applyNumberFormat="1" applyFont="1" applyBorder="1" applyAlignment="1">
      <alignment horizontal="center" vertical="justify" wrapText="1"/>
    </xf>
    <xf numFmtId="1" fontId="84" fillId="0" borderId="62" xfId="0" applyNumberFormat="1" applyFont="1" applyBorder="1" applyAlignment="1">
      <alignment horizontal="center" vertical="justify" wrapText="1"/>
    </xf>
    <xf numFmtId="1" fontId="84" fillId="0" borderId="56" xfId="0" applyNumberFormat="1" applyFont="1" applyBorder="1" applyAlignment="1">
      <alignment horizontal="center" vertical="justify" wrapText="1"/>
    </xf>
    <xf numFmtId="1" fontId="84" fillId="0" borderId="58" xfId="0" applyNumberFormat="1" applyFont="1" applyFill="1" applyBorder="1" applyAlignment="1">
      <alignment horizontal="justify" vertical="justify" wrapText="1"/>
    </xf>
    <xf numFmtId="1" fontId="84" fillId="0" borderId="55" xfId="0" applyNumberFormat="1" applyFont="1" applyFill="1" applyBorder="1" applyAlignment="1">
      <alignment horizontal="justify" vertical="justify" wrapText="1"/>
    </xf>
    <xf numFmtId="1" fontId="84" fillId="0" borderId="45" xfId="0" applyNumberFormat="1" applyFont="1" applyFill="1" applyBorder="1" applyAlignment="1">
      <alignment horizontal="justify" vertical="justify" wrapText="1"/>
    </xf>
    <xf numFmtId="1" fontId="84" fillId="0" borderId="44" xfId="0" applyNumberFormat="1" applyFont="1" applyFill="1" applyBorder="1" applyAlignment="1">
      <alignment horizontal="justify" vertical="justify" wrapText="1"/>
    </xf>
    <xf numFmtId="0" fontId="112" fillId="0" borderId="68" xfId="0" applyFont="1" applyBorder="1" applyAlignment="1">
      <alignment horizontal="center"/>
    </xf>
    <xf numFmtId="0" fontId="112" fillId="0" borderId="64" xfId="0" applyFont="1" applyBorder="1" applyAlignment="1">
      <alignment horizontal="center"/>
    </xf>
    <xf numFmtId="0" fontId="130" fillId="0" borderId="0" xfId="0" applyFont="1" applyBorder="1" applyAlignment="1">
      <alignment horizontal="left"/>
    </xf>
    <xf numFmtId="0" fontId="84" fillId="0" borderId="74" xfId="0" applyFont="1" applyBorder="1" applyAlignment="1">
      <alignment horizontal="center" vertical="center"/>
    </xf>
    <xf numFmtId="0" fontId="84" fillId="0" borderId="75" xfId="0" applyFont="1" applyBorder="1" applyAlignment="1">
      <alignment horizontal="center" vertical="center"/>
    </xf>
    <xf numFmtId="0" fontId="84" fillId="0" borderId="76" xfId="0" applyFont="1" applyBorder="1" applyAlignment="1">
      <alignment horizontal="center" vertical="center"/>
    </xf>
    <xf numFmtId="0" fontId="84" fillId="0" borderId="74" xfId="0" applyFont="1" applyBorder="1" applyAlignment="1">
      <alignment horizontal="center" vertical="center" wrapText="1"/>
    </xf>
    <xf numFmtId="0" fontId="84" fillId="0" borderId="75" xfId="0" applyFont="1" applyBorder="1" applyAlignment="1">
      <alignment horizontal="center" vertical="center" wrapText="1"/>
    </xf>
    <xf numFmtId="0" fontId="84" fillId="0" borderId="76" xfId="0" applyFont="1" applyBorder="1" applyAlignment="1">
      <alignment horizontal="center" vertical="center" wrapText="1"/>
    </xf>
    <xf numFmtId="0" fontId="84" fillId="0" borderId="66" xfId="0" applyFont="1" applyBorder="1" applyAlignment="1">
      <alignment horizontal="left" vertical="center" wrapText="1"/>
    </xf>
    <xf numFmtId="0" fontId="84" fillId="0" borderId="67" xfId="0" applyFont="1" applyBorder="1" applyAlignment="1">
      <alignment horizontal="left" vertical="center" wrapText="1"/>
    </xf>
    <xf numFmtId="0" fontId="93" fillId="0" borderId="74" xfId="0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wrapText="1"/>
    </xf>
    <xf numFmtId="0" fontId="93" fillId="0" borderId="76" xfId="0" applyFont="1" applyBorder="1" applyAlignment="1">
      <alignment horizontal="center" vertical="center" wrapText="1"/>
    </xf>
    <xf numFmtId="0" fontId="84" fillId="0" borderId="68" xfId="0" applyFont="1" applyBorder="1" applyAlignment="1">
      <alignment horizontal="left" vertical="center" wrapText="1"/>
    </xf>
    <xf numFmtId="0" fontId="84" fillId="0" borderId="62" xfId="0" applyFont="1" applyBorder="1" applyAlignment="1">
      <alignment horizontal="left" vertical="center" wrapText="1"/>
    </xf>
    <xf numFmtId="0" fontId="84" fillId="0" borderId="56" xfId="0" applyFont="1" applyBorder="1" applyAlignment="1">
      <alignment horizontal="left" vertical="center" wrapText="1"/>
    </xf>
    <xf numFmtId="0" fontId="84" fillId="0" borderId="44" xfId="0" applyFont="1" applyBorder="1" applyAlignment="1">
      <alignment horizontal="left" vertical="center" wrapText="1"/>
    </xf>
    <xf numFmtId="0" fontId="84" fillId="0" borderId="55" xfId="0" applyFont="1" applyBorder="1" applyAlignment="1">
      <alignment horizontal="left" vertical="center" wrapText="1"/>
    </xf>
    <xf numFmtId="0" fontId="84" fillId="0" borderId="45" xfId="0" applyFont="1" applyBorder="1" applyAlignment="1">
      <alignment horizontal="left" vertical="center" wrapText="1"/>
    </xf>
    <xf numFmtId="0" fontId="84" fillId="0" borderId="58" xfId="0" applyFont="1" applyBorder="1" applyAlignment="1">
      <alignment horizontal="left" vertical="center" wrapText="1"/>
    </xf>
    <xf numFmtId="0" fontId="84" fillId="0" borderId="79" xfId="0" applyFont="1" applyBorder="1" applyAlignment="1">
      <alignment horizontal="left" vertical="center" wrapText="1"/>
    </xf>
    <xf numFmtId="0" fontId="84" fillId="0" borderId="83" xfId="0" applyFont="1" applyBorder="1" applyAlignment="1">
      <alignment horizontal="left" vertical="center" wrapText="1"/>
    </xf>
    <xf numFmtId="0" fontId="84" fillId="0" borderId="84" xfId="0" applyFont="1" applyBorder="1" applyAlignment="1">
      <alignment horizontal="left" vertical="center" wrapText="1"/>
    </xf>
    <xf numFmtId="0" fontId="84" fillId="0" borderId="74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84" fillId="0" borderId="68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112" fillId="0" borderId="74" xfId="0" applyFont="1" applyBorder="1" applyAlignment="1">
      <alignment horizontal="center"/>
    </xf>
    <xf numFmtId="0" fontId="112" fillId="0" borderId="75" xfId="0" applyFont="1" applyBorder="1" applyAlignment="1">
      <alignment horizontal="center"/>
    </xf>
    <xf numFmtId="0" fontId="112" fillId="0" borderId="76" xfId="0" applyFont="1" applyBorder="1" applyAlignment="1">
      <alignment horizontal="center"/>
    </xf>
    <xf numFmtId="0" fontId="112" fillId="0" borderId="87" xfId="0" applyFont="1" applyBorder="1" applyAlignment="1">
      <alignment horizontal="center"/>
    </xf>
    <xf numFmtId="0" fontId="112" fillId="0" borderId="66" xfId="0" applyFont="1" applyBorder="1" applyAlignment="1">
      <alignment horizontal="center"/>
    </xf>
    <xf numFmtId="0" fontId="112" fillId="0" borderId="67" xfId="0" applyFont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74" xfId="0" applyFont="1" applyBorder="1" applyAlignment="1">
      <alignment horizontal="left" vertical="center" wrapText="1"/>
    </xf>
    <xf numFmtId="0" fontId="84" fillId="0" borderId="75" xfId="0" applyFont="1" applyBorder="1" applyAlignment="1">
      <alignment horizontal="left" vertical="center" wrapText="1"/>
    </xf>
    <xf numFmtId="0" fontId="84" fillId="0" borderId="76" xfId="0" applyFont="1" applyBorder="1" applyAlignment="1">
      <alignment horizontal="left" vertical="center" wrapText="1"/>
    </xf>
    <xf numFmtId="0" fontId="84" fillId="0" borderId="44" xfId="0" applyFont="1" applyFill="1" applyBorder="1" applyAlignment="1">
      <alignment horizontal="left" vertical="center" wrapText="1"/>
    </xf>
    <xf numFmtId="0" fontId="84" fillId="0" borderId="55" xfId="0" applyFont="1" applyFill="1" applyBorder="1" applyAlignment="1">
      <alignment horizontal="left" vertical="center" wrapText="1"/>
    </xf>
    <xf numFmtId="0" fontId="84" fillId="0" borderId="45" xfId="0" applyFont="1" applyFill="1" applyBorder="1" applyAlignment="1">
      <alignment horizontal="left" vertical="center" wrapText="1"/>
    </xf>
    <xf numFmtId="0" fontId="110" fillId="0" borderId="87" xfId="0" applyFont="1" applyBorder="1" applyAlignment="1">
      <alignment horizontal="left" vertical="center"/>
    </xf>
    <xf numFmtId="0" fontId="110" fillId="0" borderId="17" xfId="0" applyFont="1" applyBorder="1" applyAlignment="1">
      <alignment horizontal="left" vertical="center"/>
    </xf>
    <xf numFmtId="0" fontId="84" fillId="0" borderId="44" xfId="0" applyFont="1" applyBorder="1" applyAlignment="1">
      <alignment horizontal="left" vertical="center"/>
    </xf>
    <xf numFmtId="0" fontId="84" fillId="0" borderId="55" xfId="0" applyFont="1" applyBorder="1" applyAlignment="1">
      <alignment horizontal="left" vertical="center"/>
    </xf>
    <xf numFmtId="0" fontId="84" fillId="0" borderId="45" xfId="0" applyFont="1" applyBorder="1" applyAlignment="1">
      <alignment horizontal="left" vertical="center"/>
    </xf>
    <xf numFmtId="0" fontId="84" fillId="0" borderId="87" xfId="0" applyFont="1" applyBorder="1" applyAlignment="1">
      <alignment horizontal="left" vertical="center" wrapText="1"/>
    </xf>
    <xf numFmtId="0" fontId="84" fillId="0" borderId="68" xfId="0" applyFont="1" applyFill="1" applyBorder="1" applyAlignment="1">
      <alignment horizontal="left" vertical="center" wrapText="1"/>
    </xf>
    <xf numFmtId="0" fontId="84" fillId="0" borderId="62" xfId="0" applyFont="1" applyFill="1" applyBorder="1" applyAlignment="1">
      <alignment horizontal="left" vertical="center" wrapText="1"/>
    </xf>
    <xf numFmtId="0" fontId="84" fillId="0" borderId="56" xfId="0" applyFont="1" applyFill="1" applyBorder="1" applyAlignment="1">
      <alignment horizontal="left" vertical="center" wrapText="1"/>
    </xf>
    <xf numFmtId="0" fontId="84" fillId="0" borderId="58" xfId="0" applyFont="1" applyFill="1" applyBorder="1" applyAlignment="1">
      <alignment horizontal="left" vertical="center" wrapText="1"/>
    </xf>
    <xf numFmtId="0" fontId="84" fillId="0" borderId="57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justify" wrapText="1"/>
    </xf>
    <xf numFmtId="0" fontId="4" fillId="0" borderId="83" xfId="0" applyFont="1" applyBorder="1" applyAlignment="1">
      <alignment horizontal="left" vertical="justify" wrapText="1"/>
    </xf>
    <xf numFmtId="0" fontId="4" fillId="0" borderId="84" xfId="0" applyFont="1" applyBorder="1" applyAlignment="1">
      <alignment horizontal="left" vertical="justify" wrapText="1"/>
    </xf>
    <xf numFmtId="0" fontId="4" fillId="0" borderId="74" xfId="0" applyFont="1" applyBorder="1" applyAlignment="1">
      <alignment horizontal="left" vertical="justify" wrapText="1"/>
    </xf>
    <xf numFmtId="0" fontId="4" fillId="0" borderId="75" xfId="0" applyFont="1" applyBorder="1" applyAlignment="1">
      <alignment horizontal="left" vertical="justify" wrapText="1"/>
    </xf>
    <xf numFmtId="0" fontId="4" fillId="0" borderId="76" xfId="0" applyFont="1" applyBorder="1" applyAlignment="1">
      <alignment horizontal="left" vertical="justify" wrapText="1"/>
    </xf>
    <xf numFmtId="0" fontId="84" fillId="0" borderId="53" xfId="0" applyFont="1" applyBorder="1" applyAlignment="1">
      <alignment horizontal="left" vertical="center"/>
    </xf>
    <xf numFmtId="0" fontId="84" fillId="0" borderId="61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justify" wrapText="1"/>
    </xf>
    <xf numFmtId="0" fontId="4" fillId="0" borderId="62" xfId="0" applyFont="1" applyBorder="1" applyAlignment="1">
      <alignment horizontal="center" vertical="justify" wrapText="1"/>
    </xf>
    <xf numFmtId="0" fontId="4" fillId="0" borderId="74" xfId="0" applyFont="1" applyFill="1" applyBorder="1" applyAlignment="1">
      <alignment horizontal="center" vertical="justify" wrapText="1"/>
    </xf>
    <xf numFmtId="0" fontId="4" fillId="0" borderId="76" xfId="0" applyFont="1" applyFill="1" applyBorder="1" applyAlignment="1">
      <alignment horizontal="center" vertical="justify" wrapText="1"/>
    </xf>
    <xf numFmtId="0" fontId="4" fillId="0" borderId="68" xfId="0" applyFont="1" applyFill="1" applyBorder="1" applyAlignment="1">
      <alignment horizontal="justify" vertical="justify" wrapText="1"/>
    </xf>
    <xf numFmtId="0" fontId="4" fillId="0" borderId="62" xfId="0" applyFont="1" applyFill="1" applyBorder="1" applyAlignment="1">
      <alignment horizontal="justify" vertical="justify" wrapText="1"/>
    </xf>
    <xf numFmtId="0" fontId="4" fillId="0" borderId="56" xfId="0" applyFont="1" applyBorder="1" applyAlignment="1">
      <alignment horizontal="center" vertical="justify" wrapText="1"/>
    </xf>
    <xf numFmtId="0" fontId="4" fillId="0" borderId="68" xfId="0" applyFont="1" applyFill="1" applyBorder="1" applyAlignment="1">
      <alignment horizontal="center" vertical="justify" wrapText="1"/>
    </xf>
    <xf numFmtId="0" fontId="4" fillId="0" borderId="56" xfId="0" applyFont="1" applyFill="1" applyBorder="1" applyAlignment="1">
      <alignment horizontal="center" vertical="justify" wrapText="1"/>
    </xf>
    <xf numFmtId="0" fontId="4" fillId="0" borderId="62" xfId="0" applyFont="1" applyFill="1" applyBorder="1" applyAlignment="1">
      <alignment horizontal="center" vertical="justify" wrapText="1"/>
    </xf>
    <xf numFmtId="0" fontId="4" fillId="0" borderId="74" xfId="0" applyFont="1" applyBorder="1" applyAlignment="1">
      <alignment horizontal="center" vertical="justify" wrapText="1"/>
    </xf>
    <xf numFmtId="0" fontId="4" fillId="0" borderId="76" xfId="0" applyFont="1" applyBorder="1" applyAlignment="1">
      <alignment horizontal="center" vertical="justify" wrapText="1"/>
    </xf>
    <xf numFmtId="0" fontId="93" fillId="0" borderId="68" xfId="0" applyFont="1" applyBorder="1" applyAlignment="1">
      <alignment horizontal="center" vertical="justify" wrapText="1"/>
    </xf>
    <xf numFmtId="0" fontId="93" fillId="0" borderId="56" xfId="0" applyFont="1" applyBorder="1" applyAlignment="1">
      <alignment horizontal="center" vertical="justify" wrapText="1"/>
    </xf>
    <xf numFmtId="0" fontId="93" fillId="0" borderId="68" xfId="0" applyFont="1" applyFill="1" applyBorder="1" applyAlignment="1">
      <alignment horizontal="center" vertical="justify" wrapText="1"/>
    </xf>
    <xf numFmtId="0" fontId="93" fillId="0" borderId="56" xfId="0" applyFont="1" applyFill="1" applyBorder="1" applyAlignment="1">
      <alignment horizontal="center" vertical="justify" wrapText="1"/>
    </xf>
    <xf numFmtId="0" fontId="93" fillId="0" borderId="68" xfId="0" applyFont="1" applyFill="1" applyBorder="1" applyAlignment="1">
      <alignment horizontal="justify" vertical="justify" wrapText="1"/>
    </xf>
    <xf numFmtId="0" fontId="93" fillId="0" borderId="56" xfId="0" applyFont="1" applyFill="1" applyBorder="1" applyAlignment="1">
      <alignment horizontal="justify" vertical="justify" wrapText="1"/>
    </xf>
    <xf numFmtId="1" fontId="93" fillId="0" borderId="68" xfId="0" applyNumberFormat="1" applyFont="1" applyBorder="1" applyAlignment="1">
      <alignment horizontal="center" vertical="justify" wrapText="1"/>
    </xf>
    <xf numFmtId="1" fontId="93" fillId="0" borderId="56" xfId="0" applyNumberFormat="1" applyFont="1" applyBorder="1" applyAlignment="1">
      <alignment horizontal="center" vertical="justify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87" xfId="0" applyFont="1" applyBorder="1" applyAlignment="1">
      <alignment horizontal="left" vertical="center"/>
    </xf>
    <xf numFmtId="0" fontId="84" fillId="0" borderId="82" xfId="0" applyFont="1" applyBorder="1" applyAlignment="1">
      <alignment horizontal="left" vertical="center"/>
    </xf>
    <xf numFmtId="0" fontId="84" fillId="0" borderId="74" xfId="0" applyFont="1" applyFill="1" applyBorder="1" applyAlignment="1">
      <alignment horizontal="center" vertical="justify" wrapText="1"/>
    </xf>
    <xf numFmtId="0" fontId="84" fillId="0" borderId="76" xfId="0" applyFont="1" applyFill="1" applyBorder="1" applyAlignment="1">
      <alignment horizontal="center" vertical="justify" wrapText="1"/>
    </xf>
    <xf numFmtId="0" fontId="84" fillId="0" borderId="75" xfId="0" applyFont="1" applyBorder="1" applyAlignment="1">
      <alignment horizontal="center" vertical="justify" wrapText="1"/>
    </xf>
    <xf numFmtId="0" fontId="84" fillId="0" borderId="53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87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84" fillId="0" borderId="87" xfId="0" applyFont="1" applyBorder="1" applyAlignment="1">
      <alignment horizontal="center" vertical="center" wrapText="1"/>
    </xf>
    <xf numFmtId="0" fontId="84" fillId="0" borderId="66" xfId="0" applyFont="1" applyBorder="1" applyAlignment="1">
      <alignment horizontal="center" vertical="center" wrapText="1"/>
    </xf>
    <xf numFmtId="0" fontId="84" fillId="0" borderId="67" xfId="0" applyFont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 wrapText="1"/>
    </xf>
    <xf numFmtId="1" fontId="91" fillId="0" borderId="87" xfId="0" applyNumberFormat="1" applyFont="1" applyBorder="1" applyAlignment="1">
      <alignment horizontal="justify" vertical="justify" wrapText="1"/>
    </xf>
    <xf numFmtId="1" fontId="91" fillId="0" borderId="66" xfId="0" applyNumberFormat="1" applyFont="1" applyBorder="1" applyAlignment="1">
      <alignment horizontal="justify" vertical="justify" wrapText="1"/>
    </xf>
    <xf numFmtId="1" fontId="91" fillId="0" borderId="87" xfId="0" applyNumberFormat="1" applyFont="1" applyFill="1" applyBorder="1" applyAlignment="1">
      <alignment horizontal="justify" vertical="justify" wrapText="1"/>
    </xf>
    <xf numFmtId="1" fontId="91" fillId="0" borderId="66" xfId="0" applyNumberFormat="1" applyFont="1" applyFill="1" applyBorder="1" applyAlignment="1">
      <alignment horizontal="justify" vertical="justify" wrapText="1"/>
    </xf>
    <xf numFmtId="1" fontId="91" fillId="0" borderId="67" xfId="0" applyNumberFormat="1" applyFont="1" applyFill="1" applyBorder="1" applyAlignment="1">
      <alignment horizontal="justify" vertical="justify" wrapText="1"/>
    </xf>
    <xf numFmtId="1" fontId="88" fillId="0" borderId="0" xfId="0" applyNumberFormat="1" applyFont="1" applyBorder="1" applyAlignment="1">
      <alignment horizontal="left"/>
    </xf>
    <xf numFmtId="1" fontId="91" fillId="0" borderId="47" xfId="0" applyNumberFormat="1" applyFont="1" applyBorder="1" applyAlignment="1">
      <alignment horizontal="left" vertical="center"/>
    </xf>
    <xf numFmtId="1" fontId="91" fillId="0" borderId="24" xfId="0" applyNumberFormat="1" applyFont="1" applyBorder="1" applyAlignment="1">
      <alignment horizontal="left" vertical="center"/>
    </xf>
    <xf numFmtId="1" fontId="91" fillId="0" borderId="67" xfId="0" applyNumberFormat="1" applyFont="1" applyBorder="1" applyAlignment="1">
      <alignment horizontal="justify" vertical="justify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7" sqref="F7"/>
    </sheetView>
  </sheetViews>
  <sheetFormatPr defaultColWidth="9.140625" defaultRowHeight="15"/>
  <cols>
    <col min="1" max="1" width="65.00390625" style="114" bestFit="1" customWidth="1"/>
    <col min="2" max="2" width="3.8515625" style="114" customWidth="1"/>
    <col min="3" max="4" width="13.8515625" style="114" bestFit="1" customWidth="1"/>
    <col min="5" max="6" width="15.8515625" style="114" bestFit="1" customWidth="1"/>
    <col min="7" max="7" width="14.421875" style="114" bestFit="1" customWidth="1"/>
    <col min="8" max="8" width="18.28125" style="705" bestFit="1" customWidth="1"/>
    <col min="9" max="9" width="13.8515625" style="114" customWidth="1"/>
    <col min="10" max="10" width="13.421875" style="114" bestFit="1" customWidth="1"/>
    <col min="11" max="12" width="13.8515625" style="114" bestFit="1" customWidth="1"/>
    <col min="13" max="14" width="14.57421875" style="114" bestFit="1" customWidth="1"/>
    <col min="15" max="15" width="13.421875" style="114" bestFit="1" customWidth="1"/>
    <col min="16" max="16" width="13.8515625" style="114" bestFit="1" customWidth="1"/>
    <col min="17" max="18" width="14.57421875" style="114" bestFit="1" customWidth="1"/>
    <col min="19" max="19" width="13.421875" style="114" bestFit="1" customWidth="1"/>
    <col min="20" max="20" width="13.8515625" style="114" customWidth="1"/>
    <col min="21" max="21" width="12.421875" style="114" bestFit="1" customWidth="1"/>
    <col min="22" max="22" width="14.57421875" style="114" bestFit="1" customWidth="1"/>
    <col min="23" max="23" width="13.421875" style="114" bestFit="1" customWidth="1"/>
    <col min="24" max="24" width="13.8515625" style="114" bestFit="1" customWidth="1"/>
    <col min="25" max="25" width="14.57421875" style="114" bestFit="1" customWidth="1"/>
    <col min="26" max="26" width="15.7109375" style="114" bestFit="1" customWidth="1"/>
    <col min="27" max="27" width="12.421875" style="114" bestFit="1" customWidth="1"/>
    <col min="28" max="28" width="15.7109375" style="114" bestFit="1" customWidth="1"/>
    <col min="29" max="29" width="9.57421875" style="114" bestFit="1" customWidth="1"/>
    <col min="30" max="16384" width="9.140625" style="114" customWidth="1"/>
  </cols>
  <sheetData>
    <row r="1" spans="1:28" s="721" customFormat="1" ht="17.25" thickBot="1">
      <c r="A1" s="1685" t="s">
        <v>424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1685"/>
      <c r="T1" s="1685"/>
      <c r="U1" s="1685"/>
      <c r="V1" s="1685"/>
      <c r="W1" s="1685"/>
      <c r="X1" s="1685"/>
      <c r="Y1" s="1685"/>
      <c r="Z1" s="1685"/>
      <c r="AA1" s="1685"/>
      <c r="AB1" s="1685"/>
    </row>
    <row r="2" spans="1:28" ht="69" customHeight="1" thickBot="1">
      <c r="A2" s="1686" t="s">
        <v>0</v>
      </c>
      <c r="B2" s="1122"/>
      <c r="C2" s="1008" t="s">
        <v>184</v>
      </c>
      <c r="D2" s="1123" t="s">
        <v>185</v>
      </c>
      <c r="E2" s="943" t="s">
        <v>186</v>
      </c>
      <c r="F2" s="1123" t="s">
        <v>187</v>
      </c>
      <c r="G2" s="1123" t="s">
        <v>188</v>
      </c>
      <c r="H2" s="1123" t="s">
        <v>189</v>
      </c>
      <c r="I2" s="1123" t="s">
        <v>527</v>
      </c>
      <c r="J2" s="1123" t="s">
        <v>190</v>
      </c>
      <c r="K2" s="1123" t="s">
        <v>191</v>
      </c>
      <c r="L2" s="1123" t="s">
        <v>192</v>
      </c>
      <c r="M2" s="1123" t="s">
        <v>193</v>
      </c>
      <c r="N2" s="1123" t="s">
        <v>194</v>
      </c>
      <c r="O2" s="1123" t="s">
        <v>195</v>
      </c>
      <c r="P2" s="1123" t="s">
        <v>196</v>
      </c>
      <c r="Q2" s="1123" t="s">
        <v>197</v>
      </c>
      <c r="R2" s="1123" t="s">
        <v>198</v>
      </c>
      <c r="S2" s="1123" t="s">
        <v>199</v>
      </c>
      <c r="T2" s="1123" t="s">
        <v>200</v>
      </c>
      <c r="U2" s="1123" t="s">
        <v>201</v>
      </c>
      <c r="V2" s="1123" t="s">
        <v>202</v>
      </c>
      <c r="W2" s="1123" t="s">
        <v>203</v>
      </c>
      <c r="X2" s="1123" t="s">
        <v>204</v>
      </c>
      <c r="Y2" s="1123" t="s">
        <v>205</v>
      </c>
      <c r="Z2" s="1123" t="s">
        <v>1</v>
      </c>
      <c r="AA2" s="1123" t="s">
        <v>206</v>
      </c>
      <c r="AB2" s="1123" t="s">
        <v>2</v>
      </c>
    </row>
    <row r="3" spans="1:28" s="804" customFormat="1" ht="15" customHeight="1" thickBot="1">
      <c r="A3" s="1687"/>
      <c r="B3" s="1152"/>
      <c r="C3" s="850" t="s">
        <v>445</v>
      </c>
      <c r="D3" s="850" t="s">
        <v>445</v>
      </c>
      <c r="E3" s="850" t="s">
        <v>445</v>
      </c>
      <c r="F3" s="850" t="s">
        <v>445</v>
      </c>
      <c r="G3" s="850" t="s">
        <v>445</v>
      </c>
      <c r="H3" s="850" t="s">
        <v>445</v>
      </c>
      <c r="I3" s="850" t="s">
        <v>445</v>
      </c>
      <c r="J3" s="850" t="s">
        <v>445</v>
      </c>
      <c r="K3" s="850" t="s">
        <v>445</v>
      </c>
      <c r="L3" s="850" t="s">
        <v>445</v>
      </c>
      <c r="M3" s="850" t="s">
        <v>445</v>
      </c>
      <c r="N3" s="850" t="s">
        <v>445</v>
      </c>
      <c r="O3" s="850" t="s">
        <v>445</v>
      </c>
      <c r="P3" s="850" t="s">
        <v>445</v>
      </c>
      <c r="Q3" s="850" t="s">
        <v>445</v>
      </c>
      <c r="R3" s="850" t="s">
        <v>445</v>
      </c>
      <c r="S3" s="850" t="s">
        <v>445</v>
      </c>
      <c r="T3" s="850" t="s">
        <v>445</v>
      </c>
      <c r="U3" s="850" t="s">
        <v>445</v>
      </c>
      <c r="V3" s="850" t="s">
        <v>445</v>
      </c>
      <c r="W3" s="850" t="s">
        <v>445</v>
      </c>
      <c r="X3" s="850" t="s">
        <v>445</v>
      </c>
      <c r="Y3" s="850" t="s">
        <v>445</v>
      </c>
      <c r="Z3" s="850" t="s">
        <v>445</v>
      </c>
      <c r="AA3" s="850" t="s">
        <v>445</v>
      </c>
      <c r="AB3" s="850" t="s">
        <v>445</v>
      </c>
    </row>
    <row r="4" spans="1:28" ht="15" customHeight="1">
      <c r="A4" s="728" t="s">
        <v>21</v>
      </c>
      <c r="B4" s="731"/>
      <c r="C4" s="729"/>
      <c r="D4" s="730"/>
      <c r="E4" s="734"/>
      <c r="F4" s="730"/>
      <c r="G4" s="730"/>
      <c r="H4" s="737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</row>
    <row r="5" spans="1:29" ht="17.25">
      <c r="A5" s="630" t="s">
        <v>22</v>
      </c>
      <c r="B5" s="727" t="s">
        <v>349</v>
      </c>
      <c r="C5" s="723">
        <v>80099740</v>
      </c>
      <c r="D5" s="725">
        <v>5757367</v>
      </c>
      <c r="E5" s="735"/>
      <c r="F5" s="725">
        <v>97525277</v>
      </c>
      <c r="G5" s="725">
        <v>21872586</v>
      </c>
      <c r="H5" s="738">
        <v>39428225</v>
      </c>
      <c r="I5" s="725">
        <v>12280623</v>
      </c>
      <c r="J5" s="740">
        <v>10484847</v>
      </c>
      <c r="K5" s="725">
        <v>32195333</v>
      </c>
      <c r="L5" s="725">
        <v>14802473</v>
      </c>
      <c r="M5" s="725">
        <v>327068938</v>
      </c>
      <c r="N5" s="725">
        <v>334307038</v>
      </c>
      <c r="O5" s="745">
        <v>18425145</v>
      </c>
      <c r="P5" s="725">
        <v>33604364.29</v>
      </c>
      <c r="Q5" s="725">
        <v>103400786</v>
      </c>
      <c r="R5" s="725">
        <v>161836470</v>
      </c>
      <c r="S5" s="725">
        <v>55069552</v>
      </c>
      <c r="T5" s="725">
        <v>44409394</v>
      </c>
      <c r="U5" s="748"/>
      <c r="V5" s="749">
        <v>406347288</v>
      </c>
      <c r="W5" s="752">
        <v>17290546</v>
      </c>
      <c r="X5" s="746">
        <v>23103591</v>
      </c>
      <c r="Y5" s="725">
        <v>83085079</v>
      </c>
      <c r="Z5" s="726">
        <f>SUM(C5:Y5)</f>
        <v>1922394662.29</v>
      </c>
      <c r="AA5" s="746"/>
      <c r="AB5" s="726">
        <f>SUM(Z5:AA5)</f>
        <v>1922394662.29</v>
      </c>
      <c r="AC5" s="732"/>
    </row>
    <row r="6" spans="1:28" ht="17.25">
      <c r="A6" s="630" t="s">
        <v>350</v>
      </c>
      <c r="B6" s="733"/>
      <c r="C6" s="723">
        <v>-2521715</v>
      </c>
      <c r="D6" s="725">
        <v>-616014</v>
      </c>
      <c r="E6" s="735"/>
      <c r="F6" s="725">
        <v>-740342</v>
      </c>
      <c r="G6" s="725">
        <v>-304270</v>
      </c>
      <c r="H6" s="738">
        <v>-540519</v>
      </c>
      <c r="I6" s="725">
        <v>-1007554</v>
      </c>
      <c r="J6" s="741">
        <v>-446038</v>
      </c>
      <c r="K6" s="725">
        <v>-744855</v>
      </c>
      <c r="L6" s="725">
        <v>-513937</v>
      </c>
      <c r="M6" s="725">
        <v>-4832931</v>
      </c>
      <c r="N6" s="725">
        <v>-5517530</v>
      </c>
      <c r="O6" s="745">
        <v>-161479</v>
      </c>
      <c r="P6" s="725">
        <v>-1151401.9</v>
      </c>
      <c r="Q6" s="725">
        <v>-1423290</v>
      </c>
      <c r="R6" s="725">
        <v>-2048807</v>
      </c>
      <c r="S6" s="725">
        <v>-1588569</v>
      </c>
      <c r="T6" s="725">
        <v>-226339</v>
      </c>
      <c r="U6" s="748"/>
      <c r="V6" s="749">
        <v>-3107173</v>
      </c>
      <c r="W6" s="752">
        <v>-53087</v>
      </c>
      <c r="X6" s="746">
        <v>-576797</v>
      </c>
      <c r="Y6" s="725">
        <v>-2031370</v>
      </c>
      <c r="Z6" s="726">
        <f aca="true" t="shared" si="0" ref="Z6:Z59">SUM(C6:Y6)</f>
        <v>-30154017.9</v>
      </c>
      <c r="AA6" s="746"/>
      <c r="AB6" s="726">
        <f aca="true" t="shared" si="1" ref="AB6:AB59">SUM(Z6:AA6)</f>
        <v>-30154017.9</v>
      </c>
    </row>
    <row r="7" spans="1:28" ht="17.25">
      <c r="A7" s="630" t="s">
        <v>351</v>
      </c>
      <c r="B7" s="733"/>
      <c r="C7" s="723"/>
      <c r="D7" s="725"/>
      <c r="E7" s="735"/>
      <c r="F7" s="725"/>
      <c r="G7" s="725"/>
      <c r="H7" s="738"/>
      <c r="I7" s="725"/>
      <c r="J7" s="741"/>
      <c r="K7" s="725"/>
      <c r="L7" s="725"/>
      <c r="M7" s="725"/>
      <c r="N7" s="725"/>
      <c r="O7" s="745"/>
      <c r="P7" s="725"/>
      <c r="Q7" s="725"/>
      <c r="R7" s="725"/>
      <c r="S7" s="725"/>
      <c r="T7" s="725"/>
      <c r="U7" s="748"/>
      <c r="V7" s="709"/>
      <c r="W7" s="752"/>
      <c r="X7" s="746"/>
      <c r="Y7" s="725"/>
      <c r="Z7" s="726">
        <f t="shared" si="0"/>
        <v>0</v>
      </c>
      <c r="AA7" s="746"/>
      <c r="AB7" s="726">
        <f t="shared" si="1"/>
        <v>0</v>
      </c>
    </row>
    <row r="8" spans="1:28" s="1594" customFormat="1" ht="18">
      <c r="A8" s="727" t="s">
        <v>352</v>
      </c>
      <c r="B8" s="1590"/>
      <c r="C8" s="1591">
        <f>SUM(C5:C7)</f>
        <v>77578025</v>
      </c>
      <c r="D8" s="1591">
        <f aca="true" t="shared" si="2" ref="D8:AA8">SUM(D5:D7)</f>
        <v>5141353</v>
      </c>
      <c r="E8" s="1591">
        <f t="shared" si="2"/>
        <v>0</v>
      </c>
      <c r="F8" s="1591">
        <f t="shared" si="2"/>
        <v>96784935</v>
      </c>
      <c r="G8" s="1591">
        <f t="shared" si="2"/>
        <v>21568316</v>
      </c>
      <c r="H8" s="1591">
        <f t="shared" si="2"/>
        <v>38887706</v>
      </c>
      <c r="I8" s="1591">
        <f t="shared" si="2"/>
        <v>11273069</v>
      </c>
      <c r="J8" s="1591">
        <f t="shared" si="2"/>
        <v>10038809</v>
      </c>
      <c r="K8" s="1591">
        <f t="shared" si="2"/>
        <v>31450478</v>
      </c>
      <c r="L8" s="1591">
        <f t="shared" si="2"/>
        <v>14288536</v>
      </c>
      <c r="M8" s="1591">
        <f t="shared" si="2"/>
        <v>322236007</v>
      </c>
      <c r="N8" s="1591">
        <f t="shared" si="2"/>
        <v>328789508</v>
      </c>
      <c r="O8" s="1591">
        <f t="shared" si="2"/>
        <v>18263666</v>
      </c>
      <c r="P8" s="1591">
        <f t="shared" si="2"/>
        <v>32452962.39</v>
      </c>
      <c r="Q8" s="1591">
        <f t="shared" si="2"/>
        <v>101977496</v>
      </c>
      <c r="R8" s="1591">
        <f t="shared" si="2"/>
        <v>159787663</v>
      </c>
      <c r="S8" s="1591">
        <f t="shared" si="2"/>
        <v>53480983</v>
      </c>
      <c r="T8" s="1591">
        <f t="shared" si="2"/>
        <v>44183055</v>
      </c>
      <c r="U8" s="1591">
        <f t="shared" si="2"/>
        <v>0</v>
      </c>
      <c r="V8" s="1591">
        <f t="shared" si="2"/>
        <v>403240115</v>
      </c>
      <c r="W8" s="1591">
        <f t="shared" si="2"/>
        <v>17237459</v>
      </c>
      <c r="X8" s="1591">
        <f t="shared" si="2"/>
        <v>22526794</v>
      </c>
      <c r="Y8" s="1591">
        <f t="shared" si="2"/>
        <v>81053709</v>
      </c>
      <c r="Z8" s="1592">
        <f t="shared" si="0"/>
        <v>1892240644.3899999</v>
      </c>
      <c r="AA8" s="1593">
        <f t="shared" si="2"/>
        <v>0</v>
      </c>
      <c r="AB8" s="1592">
        <f t="shared" si="1"/>
        <v>1892240644.3899999</v>
      </c>
    </row>
    <row r="9" spans="1:28" ht="17.25">
      <c r="A9" s="727" t="s">
        <v>353</v>
      </c>
      <c r="B9" s="733"/>
      <c r="C9" s="724"/>
      <c r="D9" s="726"/>
      <c r="E9" s="736"/>
      <c r="F9" s="726"/>
      <c r="G9" s="726"/>
      <c r="H9" s="739"/>
      <c r="I9" s="726"/>
      <c r="J9" s="742"/>
      <c r="K9" s="726"/>
      <c r="L9" s="726"/>
      <c r="M9" s="726"/>
      <c r="N9" s="726"/>
      <c r="O9" s="745"/>
      <c r="P9" s="726"/>
      <c r="Q9" s="747"/>
      <c r="R9" s="726"/>
      <c r="S9" s="726"/>
      <c r="T9" s="726"/>
      <c r="U9" s="748"/>
      <c r="V9" s="709"/>
      <c r="W9" s="752"/>
      <c r="X9" s="746"/>
      <c r="Y9" s="726"/>
      <c r="Z9" s="726">
        <f t="shared" si="0"/>
        <v>0</v>
      </c>
      <c r="AA9" s="726"/>
      <c r="AB9" s="726">
        <f t="shared" si="1"/>
        <v>0</v>
      </c>
    </row>
    <row r="10" spans="1:28" ht="17.25">
      <c r="A10" s="630" t="s">
        <v>354</v>
      </c>
      <c r="B10" s="733"/>
      <c r="C10" s="723">
        <v>23670458</v>
      </c>
      <c r="D10" s="725">
        <v>1394065</v>
      </c>
      <c r="E10" s="735"/>
      <c r="F10" s="725">
        <v>24100423</v>
      </c>
      <c r="G10" s="725">
        <v>4155285</v>
      </c>
      <c r="H10" s="738">
        <v>7269160</v>
      </c>
      <c r="I10" s="725">
        <v>2805669</v>
      </c>
      <c r="J10" s="741">
        <v>1557797</v>
      </c>
      <c r="K10" s="725">
        <v>9498401</v>
      </c>
      <c r="L10" s="725">
        <v>2716695</v>
      </c>
      <c r="M10" s="725">
        <v>68453166</v>
      </c>
      <c r="N10" s="725">
        <v>60768824</v>
      </c>
      <c r="O10" s="725">
        <v>5671885</v>
      </c>
      <c r="P10" s="725">
        <v>8294493.58</v>
      </c>
      <c r="Q10" s="725">
        <f>17432483-2960</f>
        <v>17429523</v>
      </c>
      <c r="R10" s="725">
        <v>39125521</v>
      </c>
      <c r="S10" s="725">
        <v>12837962</v>
      </c>
      <c r="T10" s="725">
        <v>11622532</v>
      </c>
      <c r="U10" s="748"/>
      <c r="V10" s="749">
        <v>89180989</v>
      </c>
      <c r="W10" s="752">
        <v>2743707</v>
      </c>
      <c r="X10" s="746">
        <v>5461250</v>
      </c>
      <c r="Y10" s="726">
        <v>13474638</v>
      </c>
      <c r="Z10" s="726">
        <f t="shared" si="0"/>
        <v>412232443.58000004</v>
      </c>
      <c r="AA10" s="746"/>
      <c r="AB10" s="726">
        <f t="shared" si="1"/>
        <v>412232443.58000004</v>
      </c>
    </row>
    <row r="11" spans="1:28" ht="17.25">
      <c r="A11" s="630" t="s">
        <v>355</v>
      </c>
      <c r="B11" s="733"/>
      <c r="C11" s="723">
        <v>13080511</v>
      </c>
      <c r="D11" s="725">
        <v>861844</v>
      </c>
      <c r="E11" s="735"/>
      <c r="F11" s="725">
        <v>22419003</v>
      </c>
      <c r="G11" s="725">
        <v>2094640</v>
      </c>
      <c r="H11" s="738">
        <v>7459697</v>
      </c>
      <c r="I11" s="725">
        <v>1119389</v>
      </c>
      <c r="J11" s="741">
        <v>1257552</v>
      </c>
      <c r="K11" s="725">
        <v>3139148</v>
      </c>
      <c r="L11" s="725">
        <v>734912</v>
      </c>
      <c r="M11" s="725">
        <v>48441127</v>
      </c>
      <c r="N11" s="725">
        <v>76969515</v>
      </c>
      <c r="O11" s="725">
        <v>2184481</v>
      </c>
      <c r="P11" s="725">
        <v>3457516.82</v>
      </c>
      <c r="Q11" s="725">
        <v>14053020</v>
      </c>
      <c r="R11" s="725">
        <v>22735700</v>
      </c>
      <c r="S11" s="725">
        <v>5280047</v>
      </c>
      <c r="T11" s="725">
        <v>6998530</v>
      </c>
      <c r="U11" s="748"/>
      <c r="V11" s="749">
        <v>41159972</v>
      </c>
      <c r="W11" s="752">
        <v>917312</v>
      </c>
      <c r="X11" s="746">
        <v>4110939</v>
      </c>
      <c r="Y11" s="725">
        <v>1159672</v>
      </c>
      <c r="Z11" s="726">
        <f t="shared" si="0"/>
        <v>279634527.82</v>
      </c>
      <c r="AA11" s="746"/>
      <c r="AB11" s="726">
        <f t="shared" si="1"/>
        <v>279634527.82</v>
      </c>
    </row>
    <row r="12" spans="1:28" ht="17.25">
      <c r="A12" s="630" t="s">
        <v>356</v>
      </c>
      <c r="B12" s="733"/>
      <c r="C12" s="723">
        <v>-6950631</v>
      </c>
      <c r="D12" s="725">
        <v>-794059</v>
      </c>
      <c r="E12" s="735"/>
      <c r="F12" s="725">
        <v>-12710319</v>
      </c>
      <c r="G12" s="725">
        <v>-578690</v>
      </c>
      <c r="H12" s="738">
        <v>-8267756</v>
      </c>
      <c r="I12" s="725">
        <v>-77928</v>
      </c>
      <c r="J12" s="741">
        <v>-666636</v>
      </c>
      <c r="K12" s="725">
        <v>-1309193</v>
      </c>
      <c r="L12" s="725">
        <v>-256837</v>
      </c>
      <c r="M12" s="725">
        <v>-23379304</v>
      </c>
      <c r="N12" s="725">
        <v>-50651215</v>
      </c>
      <c r="O12" s="725">
        <v>-2570475</v>
      </c>
      <c r="P12" s="725">
        <v>-1138282.27</v>
      </c>
      <c r="Q12" s="725">
        <v>-7111665</v>
      </c>
      <c r="R12" s="725">
        <v>-8434888</v>
      </c>
      <c r="S12" s="725">
        <v>-2376989</v>
      </c>
      <c r="T12" s="725">
        <v>-2804699</v>
      </c>
      <c r="U12" s="748"/>
      <c r="V12" s="749">
        <v>-20162330</v>
      </c>
      <c r="W12" s="752">
        <v>-603433</v>
      </c>
      <c r="X12" s="746">
        <v>-1084324</v>
      </c>
      <c r="Y12" s="725">
        <v>12742913</v>
      </c>
      <c r="Z12" s="726">
        <f t="shared" si="0"/>
        <v>-139186740.26999998</v>
      </c>
      <c r="AA12" s="746"/>
      <c r="AB12" s="726">
        <f t="shared" si="1"/>
        <v>-139186740.26999998</v>
      </c>
    </row>
    <row r="13" spans="1:28" ht="17.25">
      <c r="A13" s="630" t="s">
        <v>357</v>
      </c>
      <c r="B13" s="733"/>
      <c r="C13" s="723">
        <v>-25817688</v>
      </c>
      <c r="D13" s="725">
        <v>-1373179</v>
      </c>
      <c r="E13" s="735"/>
      <c r="F13" s="725">
        <v>-42008904</v>
      </c>
      <c r="G13" s="725">
        <v>-2333089</v>
      </c>
      <c r="H13" s="738">
        <v>-15612378</v>
      </c>
      <c r="I13" s="725">
        <v>-618243</v>
      </c>
      <c r="J13" s="741">
        <v>-1605701</v>
      </c>
      <c r="K13" s="725">
        <v>-2862659</v>
      </c>
      <c r="L13" s="725">
        <v>-838033</v>
      </c>
      <c r="M13" s="725">
        <v>-126623711</v>
      </c>
      <c r="N13" s="725">
        <v>-219873110</v>
      </c>
      <c r="O13" s="725">
        <v>-3750619</v>
      </c>
      <c r="P13" s="725">
        <v>-8778883.66</v>
      </c>
      <c r="Q13" s="725">
        <v>-22052443</v>
      </c>
      <c r="R13" s="725">
        <v>-31837236</v>
      </c>
      <c r="S13" s="725">
        <v>-12645255</v>
      </c>
      <c r="T13" s="725">
        <v>-11301920</v>
      </c>
      <c r="U13" s="748"/>
      <c r="V13" s="749">
        <v>-80210755</v>
      </c>
      <c r="W13" s="752"/>
      <c r="X13" s="746"/>
      <c r="Y13" s="725">
        <v>-9098349</v>
      </c>
      <c r="Z13" s="726">
        <f t="shared" si="0"/>
        <v>-619242155.6600001</v>
      </c>
      <c r="AA13" s="746"/>
      <c r="AB13" s="726">
        <f t="shared" si="1"/>
        <v>-619242155.6600001</v>
      </c>
    </row>
    <row r="14" spans="1:28" ht="17.25">
      <c r="A14" s="630" t="s">
        <v>358</v>
      </c>
      <c r="B14" s="733"/>
      <c r="C14" s="724"/>
      <c r="D14" s="726">
        <v>136534</v>
      </c>
      <c r="E14" s="736"/>
      <c r="F14" s="726">
        <v>2662441</v>
      </c>
      <c r="G14" s="726"/>
      <c r="H14" s="739"/>
      <c r="I14" s="726">
        <v>-62917</v>
      </c>
      <c r="J14" s="742"/>
      <c r="K14" s="726"/>
      <c r="L14" s="726"/>
      <c r="M14" s="726"/>
      <c r="N14" s="726">
        <v>7617365</v>
      </c>
      <c r="O14" s="745">
        <v>298267</v>
      </c>
      <c r="P14" s="726">
        <v>474527.6</v>
      </c>
      <c r="Q14" s="747"/>
      <c r="R14" s="726"/>
      <c r="S14" s="726">
        <v>535711</v>
      </c>
      <c r="T14" s="726">
        <v>875383</v>
      </c>
      <c r="U14" s="748"/>
      <c r="V14" s="749"/>
      <c r="W14" s="752">
        <v>-9063</v>
      </c>
      <c r="X14" s="746"/>
      <c r="Y14" s="726">
        <v>-17774452</v>
      </c>
      <c r="Z14" s="726">
        <f t="shared" si="0"/>
        <v>-5246203.4</v>
      </c>
      <c r="AA14" s="726"/>
      <c r="AB14" s="726">
        <f t="shared" si="1"/>
        <v>-5246203.4</v>
      </c>
    </row>
    <row r="15" spans="1:28" ht="17.25">
      <c r="A15" s="630" t="s">
        <v>431</v>
      </c>
      <c r="B15" s="733"/>
      <c r="C15" s="724"/>
      <c r="D15" s="726"/>
      <c r="E15" s="736"/>
      <c r="F15" s="726"/>
      <c r="G15" s="726"/>
      <c r="H15" s="739"/>
      <c r="I15" s="726"/>
      <c r="J15" s="742"/>
      <c r="K15" s="726"/>
      <c r="L15" s="726"/>
      <c r="M15" s="726"/>
      <c r="N15" s="726"/>
      <c r="O15" s="745"/>
      <c r="P15" s="726"/>
      <c r="Q15" s="747"/>
      <c r="R15" s="726"/>
      <c r="S15" s="726"/>
      <c r="T15" s="726"/>
      <c r="U15" s="748"/>
      <c r="V15" s="749"/>
      <c r="W15" s="752">
        <v>-656243</v>
      </c>
      <c r="X15" s="746">
        <v>-5187236</v>
      </c>
      <c r="Y15" s="726"/>
      <c r="Z15" s="726"/>
      <c r="AA15" s="726"/>
      <c r="AB15" s="726"/>
    </row>
    <row r="16" spans="1:28" ht="17.25">
      <c r="A16" s="727" t="s">
        <v>359</v>
      </c>
      <c r="B16" s="733"/>
      <c r="C16" s="723"/>
      <c r="D16" s="725"/>
      <c r="E16" s="735"/>
      <c r="F16" s="725"/>
      <c r="G16" s="725"/>
      <c r="H16" s="738"/>
      <c r="I16" s="725"/>
      <c r="J16" s="741"/>
      <c r="K16" s="725"/>
      <c r="L16" s="725"/>
      <c r="M16" s="725"/>
      <c r="N16" s="725"/>
      <c r="O16" s="745"/>
      <c r="P16" s="725"/>
      <c r="Q16" s="725"/>
      <c r="R16" s="725"/>
      <c r="S16" s="725"/>
      <c r="T16" s="725"/>
      <c r="U16" s="748"/>
      <c r="V16" s="709"/>
      <c r="W16" s="752"/>
      <c r="X16" s="746"/>
      <c r="Y16" s="725"/>
      <c r="Z16" s="726">
        <f t="shared" si="0"/>
        <v>0</v>
      </c>
      <c r="AA16" s="725"/>
      <c r="AB16" s="726">
        <f t="shared" si="1"/>
        <v>0</v>
      </c>
    </row>
    <row r="17" spans="1:28" ht="17.25">
      <c r="A17" s="630" t="s">
        <v>360</v>
      </c>
      <c r="B17" s="733"/>
      <c r="C17" s="723">
        <v>1832020</v>
      </c>
      <c r="D17" s="725">
        <v>799926</v>
      </c>
      <c r="E17" s="735"/>
      <c r="F17" s="725">
        <f>289183+1462100</f>
        <v>1751283</v>
      </c>
      <c r="G17" s="725">
        <v>2872984</v>
      </c>
      <c r="H17" s="738">
        <v>729366</v>
      </c>
      <c r="I17" s="725">
        <v>338752</v>
      </c>
      <c r="J17" s="741">
        <f>2427305+826567</f>
        <v>3253872</v>
      </c>
      <c r="K17" s="725">
        <f>92908+1998085</f>
        <v>2090993</v>
      </c>
      <c r="L17" s="725">
        <v>2526312</v>
      </c>
      <c r="M17" s="725">
        <f>953642+93815</f>
        <v>1047457</v>
      </c>
      <c r="N17" s="725">
        <f>4435307+10534784</f>
        <v>14970091</v>
      </c>
      <c r="O17" s="745">
        <v>4796</v>
      </c>
      <c r="P17" s="725">
        <f>1054476.44+153886.63</f>
        <v>1208363.0699999998</v>
      </c>
      <c r="Q17" s="725">
        <v>215918</v>
      </c>
      <c r="R17" s="725">
        <v>170969</v>
      </c>
      <c r="S17" s="725">
        <f>344520+5677</f>
        <v>350197</v>
      </c>
      <c r="T17" s="725">
        <f>1447708+653422</f>
        <v>2101130</v>
      </c>
      <c r="U17" s="748"/>
      <c r="V17" s="709">
        <v>4762804</v>
      </c>
      <c r="W17" s="752">
        <f>1761+757531</f>
        <v>759292</v>
      </c>
      <c r="X17" s="746">
        <v>38806</v>
      </c>
      <c r="Y17" s="725">
        <v>1674517</v>
      </c>
      <c r="Z17" s="726">
        <f t="shared" si="0"/>
        <v>43499848.07</v>
      </c>
      <c r="AA17" s="725"/>
      <c r="AB17" s="726">
        <f t="shared" si="1"/>
        <v>43499848.07</v>
      </c>
    </row>
    <row r="18" spans="1:28" ht="17.25">
      <c r="A18" s="630" t="s">
        <v>361</v>
      </c>
      <c r="B18" s="733"/>
      <c r="C18" s="723"/>
      <c r="D18" s="725">
        <f>1256+3063</f>
        <v>4319</v>
      </c>
      <c r="E18" s="735"/>
      <c r="F18" s="725">
        <v>235362</v>
      </c>
      <c r="G18" s="725">
        <v>17859</v>
      </c>
      <c r="H18" s="738"/>
      <c r="I18" s="725"/>
      <c r="J18" s="741">
        <v>1364</v>
      </c>
      <c r="K18" s="725"/>
      <c r="L18" s="725"/>
      <c r="M18" s="725">
        <v>381579</v>
      </c>
      <c r="N18" s="725">
        <v>427609</v>
      </c>
      <c r="O18" s="745"/>
      <c r="P18" s="725"/>
      <c r="Q18" s="725">
        <v>17343</v>
      </c>
      <c r="R18" s="725">
        <v>441526</v>
      </c>
      <c r="S18" s="725"/>
      <c r="T18" s="725"/>
      <c r="U18" s="748"/>
      <c r="V18" s="749">
        <v>196952</v>
      </c>
      <c r="W18" s="752"/>
      <c r="X18" s="746"/>
      <c r="Y18" s="725"/>
      <c r="Z18" s="726">
        <f t="shared" si="0"/>
        <v>1723913</v>
      </c>
      <c r="AA18" s="725"/>
      <c r="AB18" s="726">
        <f t="shared" si="1"/>
        <v>1723913</v>
      </c>
    </row>
    <row r="19" spans="1:28" ht="17.25">
      <c r="A19" s="630" t="s">
        <v>362</v>
      </c>
      <c r="B19" s="733"/>
      <c r="C19" s="723">
        <f>431177+424800</f>
        <v>855977</v>
      </c>
      <c r="D19" s="725"/>
      <c r="E19" s="735"/>
      <c r="F19" s="725">
        <v>516010</v>
      </c>
      <c r="G19" s="725">
        <v>2500</v>
      </c>
      <c r="H19" s="738">
        <f>78141+235642</f>
        <v>313783</v>
      </c>
      <c r="I19" s="725">
        <f>25255+146610</f>
        <v>171865</v>
      </c>
      <c r="J19" s="741">
        <v>13196</v>
      </c>
      <c r="K19" s="725">
        <v>60632</v>
      </c>
      <c r="L19" s="725">
        <f>224439-537+24448</f>
        <v>248350</v>
      </c>
      <c r="M19" s="725">
        <v>2057923</v>
      </c>
      <c r="N19" s="725">
        <f>361106+15268</f>
        <v>376374</v>
      </c>
      <c r="O19" s="745">
        <v>1958</v>
      </c>
      <c r="P19" s="725">
        <v>27388.12</v>
      </c>
      <c r="Q19" s="725">
        <v>10744</v>
      </c>
      <c r="R19" s="725"/>
      <c r="S19" s="725">
        <f>54806+214657-5971</f>
        <v>263492</v>
      </c>
      <c r="T19" s="725">
        <v>161632</v>
      </c>
      <c r="U19" s="748"/>
      <c r="V19" s="749">
        <v>260648</v>
      </c>
      <c r="W19" s="752">
        <f>31933+10458+30312</f>
        <v>72703</v>
      </c>
      <c r="X19" s="746">
        <v>27128</v>
      </c>
      <c r="Y19" s="725">
        <f>38160+341939+165+2761+356692</f>
        <v>739717</v>
      </c>
      <c r="Z19" s="726">
        <f t="shared" si="0"/>
        <v>6182020.12</v>
      </c>
      <c r="AA19" s="725"/>
      <c r="AB19" s="726">
        <f t="shared" si="1"/>
        <v>6182020.12</v>
      </c>
    </row>
    <row r="20" spans="1:28" s="1083" customFormat="1" ht="18">
      <c r="A20" s="727" t="s">
        <v>20</v>
      </c>
      <c r="B20" s="1078"/>
      <c r="C20" s="724">
        <v>84248672</v>
      </c>
      <c r="D20" s="726"/>
      <c r="E20" s="736"/>
      <c r="F20" s="726">
        <v>96310234</v>
      </c>
      <c r="G20" s="726">
        <v>27799805</v>
      </c>
      <c r="H20" s="739">
        <v>30779578</v>
      </c>
      <c r="I20" s="726">
        <v>15788104</v>
      </c>
      <c r="J20" s="743">
        <v>13850253</v>
      </c>
      <c r="K20" s="726">
        <v>42068323</v>
      </c>
      <c r="L20" s="726">
        <v>19419935</v>
      </c>
      <c r="M20" s="726">
        <v>292614244</v>
      </c>
      <c r="N20" s="726">
        <v>219394961</v>
      </c>
      <c r="O20" s="1079">
        <v>20103959</v>
      </c>
      <c r="P20" s="726"/>
      <c r="Q20" s="726">
        <v>104541758</v>
      </c>
      <c r="R20" s="726">
        <v>181989255</v>
      </c>
      <c r="S20" s="726">
        <v>57726148</v>
      </c>
      <c r="T20" s="726">
        <v>51835643</v>
      </c>
      <c r="U20" s="1080"/>
      <c r="V20" s="750">
        <v>438428396</v>
      </c>
      <c r="W20" s="1081">
        <v>20461733</v>
      </c>
      <c r="X20" s="1082">
        <v>25893357</v>
      </c>
      <c r="Y20" s="726">
        <v>83972365</v>
      </c>
      <c r="Z20" s="726">
        <f t="shared" si="0"/>
        <v>1827226723</v>
      </c>
      <c r="AA20" s="1082"/>
      <c r="AB20" s="726">
        <f t="shared" si="1"/>
        <v>1827226723</v>
      </c>
    </row>
    <row r="21" spans="1:28" ht="17.25">
      <c r="A21" s="630" t="s">
        <v>60</v>
      </c>
      <c r="B21" s="727" t="s">
        <v>363</v>
      </c>
      <c r="C21" s="723">
        <v>4824376</v>
      </c>
      <c r="D21" s="725">
        <v>46219</v>
      </c>
      <c r="E21" s="735"/>
      <c r="F21" s="725">
        <v>4188454</v>
      </c>
      <c r="G21" s="725">
        <v>1896040</v>
      </c>
      <c r="H21" s="738">
        <v>2245352</v>
      </c>
      <c r="I21" s="725">
        <v>396036</v>
      </c>
      <c r="J21" s="741">
        <v>789611</v>
      </c>
      <c r="K21" s="725">
        <v>2155870</v>
      </c>
      <c r="L21" s="725">
        <v>532122</v>
      </c>
      <c r="M21" s="725">
        <v>14911820</v>
      </c>
      <c r="N21" s="725">
        <v>15860244</v>
      </c>
      <c r="O21" s="745">
        <v>760882</v>
      </c>
      <c r="P21" s="725">
        <v>1506232.2</v>
      </c>
      <c r="Q21" s="725">
        <f>5213621+285901</f>
        <v>5499522</v>
      </c>
      <c r="R21" s="725">
        <v>10244413</v>
      </c>
      <c r="S21" s="725">
        <v>2836468</v>
      </c>
      <c r="T21" s="725">
        <v>1826540</v>
      </c>
      <c r="U21" s="748"/>
      <c r="V21" s="749">
        <v>16249391</v>
      </c>
      <c r="W21" s="752">
        <v>1122742</v>
      </c>
      <c r="X21" s="746">
        <v>1518994</v>
      </c>
      <c r="Y21" s="725">
        <v>8388095</v>
      </c>
      <c r="Z21" s="726">
        <f t="shared" si="0"/>
        <v>97799423.2</v>
      </c>
      <c r="AA21" s="746"/>
      <c r="AB21" s="726">
        <f t="shared" si="1"/>
        <v>97799423.2</v>
      </c>
    </row>
    <row r="22" spans="1:28" ht="17.25">
      <c r="A22" s="630" t="s">
        <v>364</v>
      </c>
      <c r="B22" s="727" t="s">
        <v>365</v>
      </c>
      <c r="C22" s="723">
        <v>12441542</v>
      </c>
      <c r="D22" s="725">
        <v>2209939</v>
      </c>
      <c r="E22" s="735"/>
      <c r="F22" s="725">
        <v>17632272</v>
      </c>
      <c r="G22" s="725">
        <v>7573627</v>
      </c>
      <c r="H22" s="738">
        <v>5250696</v>
      </c>
      <c r="I22" s="725">
        <v>3303107</v>
      </c>
      <c r="J22" s="741">
        <v>5692878</v>
      </c>
      <c r="K22" s="725">
        <v>8091759</v>
      </c>
      <c r="L22" s="725">
        <v>6213663</v>
      </c>
      <c r="M22" s="725">
        <v>42668968</v>
      </c>
      <c r="N22" s="725">
        <v>28468703</v>
      </c>
      <c r="O22" s="745">
        <v>2447301</v>
      </c>
      <c r="P22" s="725">
        <v>4917884.75</v>
      </c>
      <c r="Q22" s="725">
        <v>14590099</v>
      </c>
      <c r="R22" s="725">
        <v>25441067</v>
      </c>
      <c r="S22" s="725">
        <v>9071068</v>
      </c>
      <c r="T22" s="725">
        <v>10005390</v>
      </c>
      <c r="U22" s="748"/>
      <c r="V22" s="749">
        <v>24130848</v>
      </c>
      <c r="W22" s="752">
        <v>5088607</v>
      </c>
      <c r="X22" s="746">
        <v>3668329</v>
      </c>
      <c r="Y22" s="725">
        <v>15916649</v>
      </c>
      <c r="Z22" s="726">
        <f t="shared" si="0"/>
        <v>254824396.75</v>
      </c>
      <c r="AA22" s="746"/>
      <c r="AB22" s="726">
        <f t="shared" si="1"/>
        <v>254824396.75</v>
      </c>
    </row>
    <row r="23" spans="1:28" ht="17.25">
      <c r="A23" s="630" t="s">
        <v>422</v>
      </c>
      <c r="B23" s="727"/>
      <c r="C23" s="723"/>
      <c r="D23" s="725"/>
      <c r="E23" s="735"/>
      <c r="F23" s="725"/>
      <c r="G23" s="725"/>
      <c r="H23" s="738"/>
      <c r="I23" s="725"/>
      <c r="J23" s="741"/>
      <c r="K23" s="725"/>
      <c r="L23" s="725"/>
      <c r="M23" s="725"/>
      <c r="N23" s="725"/>
      <c r="O23" s="745"/>
      <c r="P23" s="725"/>
      <c r="Q23" s="725"/>
      <c r="R23" s="725"/>
      <c r="S23" s="725"/>
      <c r="T23" s="725"/>
      <c r="U23" s="748"/>
      <c r="V23" s="749"/>
      <c r="W23" s="752"/>
      <c r="X23" s="746"/>
      <c r="Y23" s="725"/>
      <c r="Z23" s="726">
        <f t="shared" si="0"/>
        <v>0</v>
      </c>
      <c r="AA23" s="746"/>
      <c r="AB23" s="726">
        <f t="shared" si="1"/>
        <v>0</v>
      </c>
    </row>
    <row r="24" spans="1:28" ht="17.25">
      <c r="A24" s="630" t="s">
        <v>366</v>
      </c>
      <c r="B24" s="733"/>
      <c r="C24" s="723">
        <v>-43</v>
      </c>
      <c r="D24" s="725">
        <v>36602</v>
      </c>
      <c r="E24" s="735"/>
      <c r="F24" s="725">
        <v>5749</v>
      </c>
      <c r="G24" s="725">
        <v>13496</v>
      </c>
      <c r="H24" s="738">
        <v>511</v>
      </c>
      <c r="I24" s="725"/>
      <c r="J24" s="741">
        <v>5661</v>
      </c>
      <c r="K24" s="725"/>
      <c r="L24" s="725">
        <v>14458</v>
      </c>
      <c r="M24" s="725"/>
      <c r="N24" s="725">
        <v>-7318</v>
      </c>
      <c r="O24" s="745">
        <v>-836</v>
      </c>
      <c r="P24" s="725"/>
      <c r="Q24" s="725"/>
      <c r="R24" s="725">
        <v>3194</v>
      </c>
      <c r="S24" s="725"/>
      <c r="T24" s="725"/>
      <c r="U24" s="748"/>
      <c r="V24" s="749">
        <v>4329</v>
      </c>
      <c r="W24" s="752"/>
      <c r="X24" s="746">
        <v>1034</v>
      </c>
      <c r="Y24" s="725"/>
      <c r="Z24" s="726">
        <f t="shared" si="0"/>
        <v>76837</v>
      </c>
      <c r="AA24" s="746"/>
      <c r="AB24" s="726">
        <f t="shared" si="1"/>
        <v>76837</v>
      </c>
    </row>
    <row r="25" spans="1:28" ht="17.25">
      <c r="A25" s="630" t="s">
        <v>367</v>
      </c>
      <c r="B25" s="733"/>
      <c r="C25" s="724"/>
      <c r="D25" s="726">
        <v>-4947</v>
      </c>
      <c r="E25" s="736"/>
      <c r="F25" s="726">
        <v>23138</v>
      </c>
      <c r="G25" s="726">
        <v>18347</v>
      </c>
      <c r="H25" s="739"/>
      <c r="I25" s="726"/>
      <c r="J25" s="742"/>
      <c r="K25" s="726"/>
      <c r="L25" s="726">
        <v>-38</v>
      </c>
      <c r="M25" s="726"/>
      <c r="N25" s="726">
        <v>26392</v>
      </c>
      <c r="O25" s="745">
        <v>1366</v>
      </c>
      <c r="P25" s="726"/>
      <c r="Q25" s="747"/>
      <c r="R25" s="726">
        <v>16213</v>
      </c>
      <c r="S25" s="726"/>
      <c r="T25" s="726"/>
      <c r="U25" s="748"/>
      <c r="V25" s="751">
        <v>2220</v>
      </c>
      <c r="W25" s="752"/>
      <c r="X25" s="746">
        <v>2610</v>
      </c>
      <c r="Y25" s="726"/>
      <c r="Z25" s="726">
        <f t="shared" si="0"/>
        <v>85301</v>
      </c>
      <c r="AA25" s="726"/>
      <c r="AB25" s="726">
        <f t="shared" si="1"/>
        <v>85301</v>
      </c>
    </row>
    <row r="26" spans="1:28" ht="17.25">
      <c r="A26" s="630" t="s">
        <v>368</v>
      </c>
      <c r="B26" s="733"/>
      <c r="C26" s="723">
        <f>335674</f>
        <v>335674</v>
      </c>
      <c r="D26" s="725"/>
      <c r="E26" s="735"/>
      <c r="F26" s="725"/>
      <c r="G26" s="725">
        <v>40977</v>
      </c>
      <c r="H26" s="738"/>
      <c r="I26" s="725"/>
      <c r="J26" s="741"/>
      <c r="K26" s="725"/>
      <c r="L26" s="725"/>
      <c r="M26" s="725">
        <v>1490341</v>
      </c>
      <c r="N26" s="725"/>
      <c r="O26" s="745"/>
      <c r="P26" s="725"/>
      <c r="Q26" s="725">
        <v>448007</v>
      </c>
      <c r="R26" s="725"/>
      <c r="S26" s="725">
        <v>290847</v>
      </c>
      <c r="T26" s="725"/>
      <c r="U26" s="748"/>
      <c r="V26" s="709"/>
      <c r="W26" s="752">
        <v>350532</v>
      </c>
      <c r="X26" s="746">
        <v>129806</v>
      </c>
      <c r="Y26" s="725">
        <v>1238691</v>
      </c>
      <c r="Z26" s="726">
        <f t="shared" si="0"/>
        <v>4324875</v>
      </c>
      <c r="AA26" s="746"/>
      <c r="AB26" s="726">
        <f t="shared" si="1"/>
        <v>4324875</v>
      </c>
    </row>
    <row r="27" spans="1:28" ht="17.25">
      <c r="A27" s="630" t="s">
        <v>369</v>
      </c>
      <c r="B27" s="733"/>
      <c r="C27" s="723"/>
      <c r="D27" s="725"/>
      <c r="E27" s="735"/>
      <c r="F27" s="725"/>
      <c r="G27" s="725"/>
      <c r="H27" s="738"/>
      <c r="I27" s="725"/>
      <c r="J27" s="741"/>
      <c r="K27" s="725"/>
      <c r="L27" s="725"/>
      <c r="M27" s="725"/>
      <c r="N27" s="725"/>
      <c r="O27" s="745"/>
      <c r="P27" s="725"/>
      <c r="Q27" s="725"/>
      <c r="R27" s="725"/>
      <c r="S27" s="725"/>
      <c r="T27" s="725"/>
      <c r="U27" s="748"/>
      <c r="V27" s="749">
        <v>3767393</v>
      </c>
      <c r="W27" s="752"/>
      <c r="X27" s="746"/>
      <c r="Y27" s="725"/>
      <c r="Z27" s="726">
        <f t="shared" si="0"/>
        <v>3767393</v>
      </c>
      <c r="AA27" s="746"/>
      <c r="AB27" s="726">
        <f t="shared" si="1"/>
        <v>3767393</v>
      </c>
    </row>
    <row r="28" spans="1:28" ht="17.25">
      <c r="A28" s="630" t="s">
        <v>370</v>
      </c>
      <c r="B28" s="733"/>
      <c r="C28" s="723"/>
      <c r="D28" s="725"/>
      <c r="E28" s="735"/>
      <c r="F28" s="725"/>
      <c r="G28" s="725"/>
      <c r="H28" s="738"/>
      <c r="I28" s="725"/>
      <c r="J28" s="741"/>
      <c r="K28" s="725"/>
      <c r="L28" s="725"/>
      <c r="M28" s="725"/>
      <c r="N28" s="725"/>
      <c r="O28" s="745"/>
      <c r="P28" s="725"/>
      <c r="Q28" s="725"/>
      <c r="R28" s="725"/>
      <c r="S28" s="725"/>
      <c r="T28" s="725"/>
      <c r="U28" s="748"/>
      <c r="V28" s="709"/>
      <c r="W28" s="752"/>
      <c r="X28" s="746"/>
      <c r="Y28" s="725"/>
      <c r="Z28" s="726">
        <f t="shared" si="0"/>
        <v>0</v>
      </c>
      <c r="AA28" s="746"/>
      <c r="AB28" s="726">
        <f t="shared" si="1"/>
        <v>0</v>
      </c>
    </row>
    <row r="29" spans="1:28" ht="17.25">
      <c r="A29" s="630" t="s">
        <v>371</v>
      </c>
      <c r="B29" s="733"/>
      <c r="C29" s="723">
        <v>250358</v>
      </c>
      <c r="D29" s="725">
        <v>12500</v>
      </c>
      <c r="E29" s="735"/>
      <c r="F29" s="725">
        <v>2672008</v>
      </c>
      <c r="G29" s="725">
        <v>700000</v>
      </c>
      <c r="H29" s="738"/>
      <c r="I29" s="725">
        <v>521211</v>
      </c>
      <c r="J29" s="741"/>
      <c r="K29" s="725">
        <v>229750</v>
      </c>
      <c r="L29" s="725">
        <v>52000</v>
      </c>
      <c r="M29" s="725">
        <v>5308412</v>
      </c>
      <c r="N29" s="725">
        <v>2132353</v>
      </c>
      <c r="O29" s="745">
        <v>-27203</v>
      </c>
      <c r="P29" s="725">
        <v>638782.49</v>
      </c>
      <c r="Q29" s="725"/>
      <c r="R29" s="725">
        <v>1302305</v>
      </c>
      <c r="S29" s="725"/>
      <c r="T29" s="725">
        <v>2803824</v>
      </c>
      <c r="U29" s="748"/>
      <c r="V29" s="749">
        <v>705227</v>
      </c>
      <c r="W29" s="752">
        <v>246185</v>
      </c>
      <c r="X29" s="746">
        <v>349100</v>
      </c>
      <c r="Y29" s="725">
        <v>-9358</v>
      </c>
      <c r="Z29" s="726">
        <f t="shared" si="0"/>
        <v>17887454.490000002</v>
      </c>
      <c r="AA29" s="746"/>
      <c r="AB29" s="726">
        <f t="shared" si="1"/>
        <v>17887454.490000002</v>
      </c>
    </row>
    <row r="30" spans="1:28" ht="17.25">
      <c r="A30" s="630" t="s">
        <v>372</v>
      </c>
      <c r="B30" s="733"/>
      <c r="C30" s="724">
        <v>-163</v>
      </c>
      <c r="D30" s="726"/>
      <c r="E30" s="736"/>
      <c r="F30" s="726">
        <v>11964</v>
      </c>
      <c r="G30" s="726"/>
      <c r="H30" s="739"/>
      <c r="I30" s="726"/>
      <c r="J30" s="742"/>
      <c r="K30" s="726"/>
      <c r="L30" s="726"/>
      <c r="M30" s="726"/>
      <c r="N30" s="726"/>
      <c r="O30" s="745"/>
      <c r="P30" s="726"/>
      <c r="Q30" s="747">
        <v>-474</v>
      </c>
      <c r="R30" s="726"/>
      <c r="S30" s="726"/>
      <c r="T30" s="726"/>
      <c r="U30" s="748"/>
      <c r="V30" s="751">
        <v>532390</v>
      </c>
      <c r="W30" s="752"/>
      <c r="X30" s="746"/>
      <c r="Y30" s="726"/>
      <c r="Z30" s="726">
        <f t="shared" si="0"/>
        <v>543717</v>
      </c>
      <c r="AA30" s="726"/>
      <c r="AB30" s="726">
        <f t="shared" si="1"/>
        <v>543717</v>
      </c>
    </row>
    <row r="31" spans="1:28" ht="17.25">
      <c r="A31" s="630" t="s">
        <v>605</v>
      </c>
      <c r="B31" s="733"/>
      <c r="C31" s="724"/>
      <c r="D31" s="726"/>
      <c r="E31" s="736"/>
      <c r="F31" s="726"/>
      <c r="G31" s="726"/>
      <c r="H31" s="739">
        <v>187500</v>
      </c>
      <c r="I31" s="726"/>
      <c r="J31" s="742">
        <v>98295</v>
      </c>
      <c r="K31" s="726"/>
      <c r="L31" s="726"/>
      <c r="M31" s="726">
        <v>365806</v>
      </c>
      <c r="N31" s="726"/>
      <c r="O31" s="745"/>
      <c r="P31" s="726"/>
      <c r="Q31" s="747"/>
      <c r="R31" s="726"/>
      <c r="S31" s="726">
        <v>12851</v>
      </c>
      <c r="T31" s="726"/>
      <c r="U31" s="748"/>
      <c r="V31" s="751"/>
      <c r="W31" s="752">
        <v>27088</v>
      </c>
      <c r="X31" s="746"/>
      <c r="Y31" s="726"/>
      <c r="Z31" s="726"/>
      <c r="AA31" s="726"/>
      <c r="AB31" s="726"/>
    </row>
    <row r="32" spans="1:28" ht="17.25">
      <c r="A32" s="630" t="s">
        <v>373</v>
      </c>
      <c r="B32" s="733"/>
      <c r="C32" s="723">
        <v>1116928</v>
      </c>
      <c r="D32" s="725"/>
      <c r="E32" s="735"/>
      <c r="F32" s="725">
        <v>1184137</v>
      </c>
      <c r="G32" s="725"/>
      <c r="H32" s="738">
        <v>571500</v>
      </c>
      <c r="I32" s="725">
        <v>16396</v>
      </c>
      <c r="J32" s="741">
        <v>61158</v>
      </c>
      <c r="K32" s="725">
        <v>56561</v>
      </c>
      <c r="L32" s="725">
        <v>42582</v>
      </c>
      <c r="M32" s="725">
        <v>3532350</v>
      </c>
      <c r="N32" s="725">
        <v>6533945</v>
      </c>
      <c r="O32" s="746">
        <v>161655</v>
      </c>
      <c r="P32" s="725">
        <v>295007.98</v>
      </c>
      <c r="Q32" s="725">
        <v>641317</v>
      </c>
      <c r="R32" s="725">
        <v>1450114</v>
      </c>
      <c r="S32" s="725">
        <v>455561</v>
      </c>
      <c r="T32" s="725">
        <v>321187</v>
      </c>
      <c r="U32" s="748"/>
      <c r="V32" s="749">
        <v>5531680</v>
      </c>
      <c r="W32" s="752">
        <v>27474</v>
      </c>
      <c r="X32" s="746">
        <v>93277</v>
      </c>
      <c r="Y32" s="725">
        <v>585590</v>
      </c>
      <c r="Z32" s="726">
        <f t="shared" si="0"/>
        <v>22678419.98</v>
      </c>
      <c r="AA32" s="725"/>
      <c r="AB32" s="726">
        <f t="shared" si="1"/>
        <v>22678419.98</v>
      </c>
    </row>
    <row r="33" spans="1:28" s="1083" customFormat="1" ht="18">
      <c r="A33" s="727" t="s">
        <v>374</v>
      </c>
      <c r="B33" s="1078"/>
      <c r="C33" s="724">
        <v>18968672</v>
      </c>
      <c r="D33" s="726">
        <v>2300313</v>
      </c>
      <c r="E33" s="736"/>
      <c r="F33" s="726">
        <v>25717722</v>
      </c>
      <c r="G33" s="726">
        <v>10242487</v>
      </c>
      <c r="H33" s="739">
        <v>8255559</v>
      </c>
      <c r="I33" s="726">
        <v>4236750</v>
      </c>
      <c r="J33" s="743">
        <v>6647605</v>
      </c>
      <c r="K33" s="726">
        <v>10533940</v>
      </c>
      <c r="L33" s="726">
        <v>6854787</v>
      </c>
      <c r="M33" s="726">
        <v>68277697</v>
      </c>
      <c r="N33" s="726">
        <v>53014319</v>
      </c>
      <c r="O33" s="1082">
        <v>3343165</v>
      </c>
      <c r="P33" s="726">
        <v>7357907.42</v>
      </c>
      <c r="Q33" s="726">
        <v>23199894</v>
      </c>
      <c r="R33" s="726">
        <v>36457306</v>
      </c>
      <c r="S33" s="726">
        <v>12666795</v>
      </c>
      <c r="T33" s="726">
        <v>14956941</v>
      </c>
      <c r="U33" s="1080"/>
      <c r="V33" s="750">
        <v>50923477</v>
      </c>
      <c r="W33" s="1081">
        <v>6892628</v>
      </c>
      <c r="X33" s="1082">
        <v>5763150</v>
      </c>
      <c r="Y33" s="726">
        <v>26119667</v>
      </c>
      <c r="Z33" s="726">
        <f t="shared" si="0"/>
        <v>402730781.41999996</v>
      </c>
      <c r="AA33" s="726"/>
      <c r="AB33" s="726">
        <f t="shared" si="1"/>
        <v>402730781.41999996</v>
      </c>
    </row>
    <row r="34" spans="1:28" ht="17.25">
      <c r="A34" s="630" t="s">
        <v>375</v>
      </c>
      <c r="B34" s="727" t="s">
        <v>376</v>
      </c>
      <c r="C34" s="723">
        <v>55460877</v>
      </c>
      <c r="D34" s="725">
        <v>2802800</v>
      </c>
      <c r="E34" s="735"/>
      <c r="F34" s="725">
        <v>67140658</v>
      </c>
      <c r="G34" s="725">
        <v>3938841</v>
      </c>
      <c r="H34" s="738">
        <v>17226978</v>
      </c>
      <c r="I34" s="725">
        <v>3937393</v>
      </c>
      <c r="J34" s="741">
        <v>880132</v>
      </c>
      <c r="K34" s="725">
        <v>14618978</v>
      </c>
      <c r="L34" s="725">
        <v>4545175</v>
      </c>
      <c r="M34" s="725">
        <v>181730378</v>
      </c>
      <c r="N34" s="725">
        <v>193026449</v>
      </c>
      <c r="O34" s="746">
        <v>6973089</v>
      </c>
      <c r="P34" s="725">
        <v>30939098.1</v>
      </c>
      <c r="Q34" s="725">
        <v>35722280</v>
      </c>
      <c r="R34" s="725">
        <v>66205122</v>
      </c>
      <c r="S34" s="725">
        <v>23350769</v>
      </c>
      <c r="T34" s="725">
        <v>30837293</v>
      </c>
      <c r="U34" s="748"/>
      <c r="V34" s="749">
        <v>161753462</v>
      </c>
      <c r="W34" s="752">
        <v>4950717</v>
      </c>
      <c r="X34" s="746">
        <v>10349631</v>
      </c>
      <c r="Y34" s="725">
        <v>23674644</v>
      </c>
      <c r="Z34" s="726">
        <f t="shared" si="0"/>
        <v>940064764.1</v>
      </c>
      <c r="AA34" s="725"/>
      <c r="AB34" s="726">
        <f t="shared" si="1"/>
        <v>940064764.1</v>
      </c>
    </row>
    <row r="35" spans="1:28" ht="17.25">
      <c r="A35" s="630" t="s">
        <v>377</v>
      </c>
      <c r="B35" s="733"/>
      <c r="C35" s="723"/>
      <c r="D35" s="725">
        <v>1087</v>
      </c>
      <c r="E35" s="735"/>
      <c r="F35" s="725">
        <v>1346832</v>
      </c>
      <c r="G35" s="725"/>
      <c r="H35" s="738">
        <v>17668</v>
      </c>
      <c r="I35" s="725">
        <v>223</v>
      </c>
      <c r="J35" s="741">
        <v>288</v>
      </c>
      <c r="K35" s="725">
        <v>7481</v>
      </c>
      <c r="L35" s="725">
        <v>16205</v>
      </c>
      <c r="M35" s="725">
        <f>585006+7899387</f>
        <v>8484393</v>
      </c>
      <c r="N35" s="725">
        <v>739550</v>
      </c>
      <c r="O35" s="746">
        <v>146</v>
      </c>
      <c r="P35" s="725"/>
      <c r="Q35" s="725">
        <v>269181</v>
      </c>
      <c r="R35" s="725">
        <v>16550</v>
      </c>
      <c r="S35" s="725">
        <v>30187</v>
      </c>
      <c r="T35" s="725">
        <v>6586</v>
      </c>
      <c r="U35" s="748"/>
      <c r="V35" s="749">
        <v>755865</v>
      </c>
      <c r="W35" s="752">
        <v>3422</v>
      </c>
      <c r="X35" s="746">
        <v>145</v>
      </c>
      <c r="Y35" s="725"/>
      <c r="Z35" s="726">
        <f t="shared" si="0"/>
        <v>11695809</v>
      </c>
      <c r="AA35" s="725"/>
      <c r="AB35" s="726">
        <f t="shared" si="1"/>
        <v>11695809</v>
      </c>
    </row>
    <row r="36" spans="1:28" ht="17.25">
      <c r="A36" s="630" t="s">
        <v>378</v>
      </c>
      <c r="B36" s="733"/>
      <c r="C36" s="724">
        <v>37828</v>
      </c>
      <c r="D36" s="726"/>
      <c r="E36" s="736"/>
      <c r="F36" s="726"/>
      <c r="G36" s="726"/>
      <c r="H36" s="739"/>
      <c r="I36" s="726"/>
      <c r="J36" s="742"/>
      <c r="K36" s="726"/>
      <c r="L36" s="726"/>
      <c r="M36" s="726"/>
      <c r="N36" s="726"/>
      <c r="O36" s="745"/>
      <c r="P36" s="726"/>
      <c r="Q36" s="747"/>
      <c r="R36" s="726"/>
      <c r="S36" s="726"/>
      <c r="T36" s="726"/>
      <c r="U36" s="748"/>
      <c r="V36" s="709"/>
      <c r="W36" s="752"/>
      <c r="X36" s="746"/>
      <c r="Y36" s="726"/>
      <c r="Z36" s="726">
        <f t="shared" si="0"/>
        <v>37828</v>
      </c>
      <c r="AA36" s="726"/>
      <c r="AB36" s="726">
        <f t="shared" si="1"/>
        <v>37828</v>
      </c>
    </row>
    <row r="37" spans="1:28" ht="17.25">
      <c r="A37" s="630" t="s">
        <v>379</v>
      </c>
      <c r="B37" s="733"/>
      <c r="C37" s="723">
        <v>32576366</v>
      </c>
      <c r="D37" s="725">
        <f>2834951-1542501</f>
        <v>1292450</v>
      </c>
      <c r="E37" s="735"/>
      <c r="F37" s="725">
        <v>31609652</v>
      </c>
      <c r="G37" s="725">
        <v>12597365</v>
      </c>
      <c r="H37" s="738">
        <v>3599325</v>
      </c>
      <c r="I37" s="725">
        <v>5484826</v>
      </c>
      <c r="J37" s="741">
        <v>6161590</v>
      </c>
      <c r="K37" s="725">
        <v>13961502</v>
      </c>
      <c r="L37" s="725">
        <f>-559482+6345225</f>
        <v>5785743</v>
      </c>
      <c r="M37" s="725">
        <v>132243857</v>
      </c>
      <c r="N37" s="725">
        <v>156400924</v>
      </c>
      <c r="O37" s="745">
        <v>8109358</v>
      </c>
      <c r="P37" s="725">
        <v>-321867.78</v>
      </c>
      <c r="Q37" s="725">
        <v>47722865</v>
      </c>
      <c r="R37" s="725">
        <v>70092022</v>
      </c>
      <c r="S37" s="725">
        <f>-12695567+31917289</f>
        <v>19221722</v>
      </c>
      <c r="T37" s="725"/>
      <c r="U37" s="748"/>
      <c r="V37" s="749">
        <v>112744362</v>
      </c>
      <c r="W37" s="752">
        <v>7528214</v>
      </c>
      <c r="X37" s="746">
        <v>15447059</v>
      </c>
      <c r="Y37" s="725">
        <f>46442885-10451677</f>
        <v>35991208</v>
      </c>
      <c r="Z37" s="726">
        <f t="shared" si="0"/>
        <v>718248542.22</v>
      </c>
      <c r="AA37" s="725"/>
      <c r="AB37" s="726">
        <f t="shared" si="1"/>
        <v>718248542.22</v>
      </c>
    </row>
    <row r="38" spans="1:28" ht="17.25">
      <c r="A38" s="630" t="s">
        <v>380</v>
      </c>
      <c r="B38" s="733"/>
      <c r="C38" s="723">
        <v>-1422965</v>
      </c>
      <c r="D38" s="725">
        <v>-221460</v>
      </c>
      <c r="E38" s="735"/>
      <c r="F38" s="725">
        <v>-263205</v>
      </c>
      <c r="G38" s="725">
        <v>7597</v>
      </c>
      <c r="H38" s="738">
        <v>-430873</v>
      </c>
      <c r="I38" s="725">
        <v>85668</v>
      </c>
      <c r="J38" s="741">
        <v>-80366</v>
      </c>
      <c r="K38" s="725">
        <v>-565552</v>
      </c>
      <c r="L38" s="725">
        <v>-144506</v>
      </c>
      <c r="M38" s="725">
        <v>-15882842</v>
      </c>
      <c r="N38" s="725">
        <v>-68369014</v>
      </c>
      <c r="O38" s="745">
        <v>-13072</v>
      </c>
      <c r="P38" s="725"/>
      <c r="Q38" s="725">
        <v>-792300</v>
      </c>
      <c r="R38" s="725">
        <v>-9247606</v>
      </c>
      <c r="S38" s="725">
        <v>-242325</v>
      </c>
      <c r="T38" s="725"/>
      <c r="U38" s="748"/>
      <c r="V38" s="749">
        <v>-383091</v>
      </c>
      <c r="W38" s="752"/>
      <c r="X38" s="746">
        <v>-5893</v>
      </c>
      <c r="Y38" s="725">
        <v>-7602871</v>
      </c>
      <c r="Z38" s="726">
        <f t="shared" si="0"/>
        <v>-105574676</v>
      </c>
      <c r="AA38" s="725"/>
      <c r="AB38" s="726">
        <f t="shared" si="1"/>
        <v>-105574676</v>
      </c>
    </row>
    <row r="39" spans="1:28" ht="17.25">
      <c r="A39" s="630" t="s">
        <v>381</v>
      </c>
      <c r="B39" s="733"/>
      <c r="C39" s="723"/>
      <c r="D39" s="725"/>
      <c r="E39" s="735"/>
      <c r="F39" s="725"/>
      <c r="G39" s="725"/>
      <c r="H39" s="738"/>
      <c r="I39" s="725"/>
      <c r="J39" s="741"/>
      <c r="K39" s="725"/>
      <c r="L39" s="725"/>
      <c r="M39" s="725"/>
      <c r="N39" s="725"/>
      <c r="O39" s="745"/>
      <c r="P39" s="725"/>
      <c r="Q39" s="725"/>
      <c r="R39" s="725"/>
      <c r="S39" s="725"/>
      <c r="T39" s="725"/>
      <c r="U39" s="748"/>
      <c r="V39" s="709"/>
      <c r="W39" s="752"/>
      <c r="X39" s="746"/>
      <c r="Y39" s="725"/>
      <c r="Z39" s="726">
        <f t="shared" si="0"/>
        <v>0</v>
      </c>
      <c r="AA39" s="725"/>
      <c r="AB39" s="726">
        <f t="shared" si="1"/>
        <v>0</v>
      </c>
    </row>
    <row r="40" spans="1:28" ht="17.25">
      <c r="A40" s="630" t="s">
        <v>382</v>
      </c>
      <c r="B40" s="733"/>
      <c r="C40" s="723">
        <f>-24257361+866822</f>
        <v>-23390539</v>
      </c>
      <c r="D40" s="725"/>
      <c r="E40" s="735"/>
      <c r="F40" s="725">
        <v>-36805767</v>
      </c>
      <c r="G40" s="725"/>
      <c r="H40" s="738"/>
      <c r="I40" s="725"/>
      <c r="J40" s="741"/>
      <c r="K40" s="725"/>
      <c r="L40" s="725"/>
      <c r="M40" s="725">
        <v>-96770634</v>
      </c>
      <c r="N40" s="725">
        <v>-156631002</v>
      </c>
      <c r="O40" s="745"/>
      <c r="P40" s="725">
        <v>-3485848.59</v>
      </c>
      <c r="Q40" s="725"/>
      <c r="R40" s="725"/>
      <c r="S40" s="725"/>
      <c r="T40" s="725">
        <f>-18096244+21623686</f>
        <v>3527442</v>
      </c>
      <c r="U40" s="748"/>
      <c r="V40" s="749">
        <v>76875133</v>
      </c>
      <c r="W40" s="752"/>
      <c r="X40" s="746"/>
      <c r="Y40" s="725"/>
      <c r="Z40" s="726">
        <f t="shared" si="0"/>
        <v>-236681215.58999997</v>
      </c>
      <c r="AA40" s="725"/>
      <c r="AB40" s="726">
        <f t="shared" si="1"/>
        <v>-236681215.58999997</v>
      </c>
    </row>
    <row r="41" spans="1:28" ht="17.25">
      <c r="A41" s="630" t="s">
        <v>383</v>
      </c>
      <c r="B41" s="733"/>
      <c r="C41" s="724"/>
      <c r="D41" s="726"/>
      <c r="E41" s="736"/>
      <c r="F41" s="726">
        <v>3108218</v>
      </c>
      <c r="G41" s="726"/>
      <c r="H41" s="739"/>
      <c r="I41" s="726"/>
      <c r="J41" s="742"/>
      <c r="K41" s="726"/>
      <c r="L41" s="726"/>
      <c r="M41" s="726">
        <v>4817243</v>
      </c>
      <c r="N41" s="726">
        <v>18029747</v>
      </c>
      <c r="O41" s="745"/>
      <c r="P41" s="726">
        <v>584393.19</v>
      </c>
      <c r="Q41" s="747"/>
      <c r="R41" s="726">
        <v>5549892</v>
      </c>
      <c r="S41" s="726"/>
      <c r="T41" s="726"/>
      <c r="U41" s="748"/>
      <c r="V41" s="749">
        <v>16812209</v>
      </c>
      <c r="W41" s="752"/>
      <c r="X41" s="725">
        <v>-1428371</v>
      </c>
      <c r="Y41" s="726"/>
      <c r="Z41" s="726">
        <f t="shared" si="0"/>
        <v>47473331.19</v>
      </c>
      <c r="AA41" s="726"/>
      <c r="AB41" s="726">
        <f t="shared" si="1"/>
        <v>47473331.19</v>
      </c>
    </row>
    <row r="42" spans="1:28" ht="17.25">
      <c r="A42" s="630" t="s">
        <v>423</v>
      </c>
      <c r="B42" s="733"/>
      <c r="C42" s="724"/>
      <c r="D42" s="726"/>
      <c r="E42" s="736"/>
      <c r="F42" s="726"/>
      <c r="G42" s="726"/>
      <c r="H42" s="739"/>
      <c r="I42" s="726"/>
      <c r="J42" s="742"/>
      <c r="K42" s="726"/>
      <c r="L42" s="726"/>
      <c r="M42" s="726"/>
      <c r="N42" s="726"/>
      <c r="O42" s="745"/>
      <c r="P42" s="726"/>
      <c r="Q42" s="747">
        <v>-5920953</v>
      </c>
      <c r="R42" s="726"/>
      <c r="S42" s="726"/>
      <c r="T42" s="726"/>
      <c r="U42" s="748"/>
      <c r="V42" s="749"/>
      <c r="W42" s="752"/>
      <c r="X42" s="725">
        <v>-5130656</v>
      </c>
      <c r="Y42" s="726"/>
      <c r="Z42" s="726">
        <f t="shared" si="0"/>
        <v>-11051609</v>
      </c>
      <c r="AA42" s="726"/>
      <c r="AB42" s="726">
        <f t="shared" si="1"/>
        <v>-11051609</v>
      </c>
    </row>
    <row r="43" spans="1:28" ht="17.25">
      <c r="A43" s="630" t="s">
        <v>427</v>
      </c>
      <c r="B43" s="733"/>
      <c r="C43" s="724"/>
      <c r="D43" s="726"/>
      <c r="E43" s="736"/>
      <c r="F43" s="726"/>
      <c r="G43" s="726"/>
      <c r="H43" s="739"/>
      <c r="I43" s="726"/>
      <c r="J43" s="742"/>
      <c r="K43" s="726"/>
      <c r="L43" s="726"/>
      <c r="M43" s="726"/>
      <c r="N43" s="726"/>
      <c r="O43" s="745"/>
      <c r="P43" s="726"/>
      <c r="Q43" s="747"/>
      <c r="R43" s="726"/>
      <c r="S43" s="726"/>
      <c r="T43" s="726"/>
      <c r="U43" s="748"/>
      <c r="V43" s="749"/>
      <c r="W43" s="752"/>
      <c r="X43" s="725"/>
      <c r="Y43" s="726"/>
      <c r="Z43" s="726">
        <f t="shared" si="0"/>
        <v>0</v>
      </c>
      <c r="AA43" s="726"/>
      <c r="AB43" s="726">
        <f t="shared" si="1"/>
        <v>0</v>
      </c>
    </row>
    <row r="44" spans="1:28" s="1083" customFormat="1" ht="18">
      <c r="A44" s="727" t="s">
        <v>384</v>
      </c>
      <c r="B44" s="1078"/>
      <c r="C44" s="724">
        <v>63261567</v>
      </c>
      <c r="D44" s="726">
        <v>3874877</v>
      </c>
      <c r="E44" s="736"/>
      <c r="F44" s="726">
        <v>65804019</v>
      </c>
      <c r="G44" s="726">
        <v>16543803</v>
      </c>
      <c r="H44" s="739">
        <v>20413098</v>
      </c>
      <c r="I44" s="726">
        <v>9508110</v>
      </c>
      <c r="J44" s="743">
        <v>6961644</v>
      </c>
      <c r="K44" s="726">
        <v>28022409</v>
      </c>
      <c r="L44" s="726">
        <v>10202617</v>
      </c>
      <c r="M44" s="726">
        <v>214622395</v>
      </c>
      <c r="N44" s="726">
        <v>143196654</v>
      </c>
      <c r="O44" s="1082">
        <v>15069521</v>
      </c>
      <c r="P44" s="726">
        <v>27715774.92</v>
      </c>
      <c r="Q44" s="726">
        <v>77001073</v>
      </c>
      <c r="R44" s="726">
        <v>132615980</v>
      </c>
      <c r="S44" s="726">
        <v>42845003</v>
      </c>
      <c r="T44" s="726">
        <v>34371321</v>
      </c>
      <c r="U44" s="1080"/>
      <c r="V44" s="750">
        <v>368557940</v>
      </c>
      <c r="W44" s="1081">
        <v>12482353</v>
      </c>
      <c r="X44" s="1082">
        <v>19231915</v>
      </c>
      <c r="Y44" s="726">
        <v>52062981</v>
      </c>
      <c r="Z44" s="726">
        <f t="shared" si="0"/>
        <v>1364365054.92</v>
      </c>
      <c r="AA44" s="726"/>
      <c r="AB44" s="726">
        <f t="shared" si="1"/>
        <v>1364365054.92</v>
      </c>
    </row>
    <row r="45" spans="1:28" s="1083" customFormat="1" ht="18">
      <c r="A45" s="727" t="s">
        <v>385</v>
      </c>
      <c r="B45" s="1078"/>
      <c r="C45" s="724">
        <v>2018433</v>
      </c>
      <c r="D45" s="726">
        <v>-4387</v>
      </c>
      <c r="E45" s="736"/>
      <c r="F45" s="726">
        <v>4788493</v>
      </c>
      <c r="G45" s="726">
        <v>1013515</v>
      </c>
      <c r="H45" s="739">
        <v>2110921</v>
      </c>
      <c r="I45" s="726">
        <v>2043244</v>
      </c>
      <c r="J45" s="742">
        <v>241004</v>
      </c>
      <c r="K45" s="726">
        <v>3511975</v>
      </c>
      <c r="L45" s="726">
        <v>2362531</v>
      </c>
      <c r="M45" s="726">
        <v>9714152</v>
      </c>
      <c r="N45" s="726">
        <v>23183988</v>
      </c>
      <c r="O45" s="1082">
        <v>1691273</v>
      </c>
      <c r="P45" s="726">
        <v>924403.31</v>
      </c>
      <c r="Q45" s="726">
        <v>4340791</v>
      </c>
      <c r="R45" s="726">
        <v>12915969</v>
      </c>
      <c r="S45" s="726">
        <v>2214349</v>
      </c>
      <c r="T45" s="726">
        <v>2507381</v>
      </c>
      <c r="U45" s="1080"/>
      <c r="V45" s="750">
        <v>18946979</v>
      </c>
      <c r="W45" s="1081">
        <v>1116752</v>
      </c>
      <c r="X45" s="1082">
        <v>898292</v>
      </c>
      <c r="Y45" s="726">
        <v>5789871</v>
      </c>
      <c r="Z45" s="726">
        <f t="shared" si="0"/>
        <v>102329929.31</v>
      </c>
      <c r="AA45" s="726"/>
      <c r="AB45" s="726">
        <f t="shared" si="1"/>
        <v>102329929.31</v>
      </c>
    </row>
    <row r="46" spans="1:28" ht="17.25">
      <c r="A46" s="727" t="s">
        <v>608</v>
      </c>
      <c r="B46" s="733"/>
      <c r="C46" s="724"/>
      <c r="D46" s="725"/>
      <c r="E46" s="735"/>
      <c r="F46" s="725">
        <v>-234618</v>
      </c>
      <c r="G46" s="725"/>
      <c r="H46" s="738"/>
      <c r="I46" s="725"/>
      <c r="J46" s="742"/>
      <c r="K46" s="725"/>
      <c r="L46" s="725"/>
      <c r="M46" s="725"/>
      <c r="N46" s="725">
        <v>-1313915</v>
      </c>
      <c r="O46" s="746">
        <v>168049</v>
      </c>
      <c r="P46" s="725"/>
      <c r="Q46" s="725"/>
      <c r="R46" s="725"/>
      <c r="S46" s="725"/>
      <c r="T46" s="725"/>
      <c r="U46" s="748"/>
      <c r="V46" s="750"/>
      <c r="W46" s="752"/>
      <c r="X46" s="746"/>
      <c r="Y46" s="725"/>
      <c r="Z46" s="726">
        <f t="shared" si="0"/>
        <v>-1380484</v>
      </c>
      <c r="AA46" s="725"/>
      <c r="AB46" s="726">
        <f t="shared" si="1"/>
        <v>-1380484</v>
      </c>
    </row>
    <row r="47" spans="1:28" ht="17.25">
      <c r="A47" s="727" t="s">
        <v>386</v>
      </c>
      <c r="B47" s="733"/>
      <c r="C47" s="723"/>
      <c r="D47" s="725"/>
      <c r="E47" s="735"/>
      <c r="F47" s="725"/>
      <c r="G47" s="725"/>
      <c r="H47" s="738"/>
      <c r="I47" s="725"/>
      <c r="J47" s="741"/>
      <c r="K47" s="725"/>
      <c r="L47" s="725"/>
      <c r="M47" s="725"/>
      <c r="N47" s="725">
        <v>-446</v>
      </c>
      <c r="O47" s="746"/>
      <c r="P47" s="725"/>
      <c r="Q47" s="725"/>
      <c r="R47" s="725"/>
      <c r="S47" s="725"/>
      <c r="T47" s="725"/>
      <c r="U47" s="748"/>
      <c r="V47" s="709"/>
      <c r="W47" s="752"/>
      <c r="X47" s="746"/>
      <c r="Y47" s="725"/>
      <c r="Z47" s="726">
        <f t="shared" si="0"/>
        <v>-446</v>
      </c>
      <c r="AA47" s="725"/>
      <c r="AB47" s="726">
        <f t="shared" si="1"/>
        <v>-446</v>
      </c>
    </row>
    <row r="48" spans="1:28" ht="17.25">
      <c r="A48" s="727" t="s">
        <v>432</v>
      </c>
      <c r="B48" s="733"/>
      <c r="C48" s="723"/>
      <c r="D48" s="725"/>
      <c r="E48" s="735"/>
      <c r="F48" s="725"/>
      <c r="G48" s="725"/>
      <c r="H48" s="738"/>
      <c r="I48" s="725"/>
      <c r="J48" s="741"/>
      <c r="K48" s="725"/>
      <c r="L48" s="725"/>
      <c r="M48" s="725"/>
      <c r="N48" s="725"/>
      <c r="O48" s="746"/>
      <c r="P48" s="725"/>
      <c r="Q48" s="725"/>
      <c r="R48" s="725"/>
      <c r="S48" s="725"/>
      <c r="T48" s="725"/>
      <c r="U48" s="748"/>
      <c r="V48" s="709"/>
      <c r="W48" s="752"/>
      <c r="X48" s="746"/>
      <c r="Y48" s="725"/>
      <c r="Z48" s="726"/>
      <c r="AA48" s="725"/>
      <c r="AB48" s="726"/>
    </row>
    <row r="49" spans="1:28" ht="17.25">
      <c r="A49" s="630" t="s">
        <v>387</v>
      </c>
      <c r="B49" s="733"/>
      <c r="C49" s="723"/>
      <c r="D49" s="725"/>
      <c r="E49" s="735"/>
      <c r="F49" s="725"/>
      <c r="G49" s="725"/>
      <c r="H49" s="738"/>
      <c r="I49" s="725"/>
      <c r="J49" s="741"/>
      <c r="K49" s="725"/>
      <c r="L49" s="725"/>
      <c r="M49" s="725"/>
      <c r="N49" s="725"/>
      <c r="O49" s="746"/>
      <c r="P49" s="725"/>
      <c r="Q49" s="725"/>
      <c r="R49" s="725">
        <v>238744</v>
      </c>
      <c r="S49" s="725"/>
      <c r="T49" s="725"/>
      <c r="U49" s="748"/>
      <c r="V49" s="749"/>
      <c r="W49" s="752"/>
      <c r="X49" s="746"/>
      <c r="Y49" s="725"/>
      <c r="Z49" s="726">
        <f t="shared" si="0"/>
        <v>238744</v>
      </c>
      <c r="AA49" s="725"/>
      <c r="AB49" s="726">
        <f t="shared" si="1"/>
        <v>238744</v>
      </c>
    </row>
    <row r="50" spans="1:28" ht="17.25">
      <c r="A50" s="727" t="s">
        <v>164</v>
      </c>
      <c r="B50" s="733"/>
      <c r="C50" s="724"/>
      <c r="D50" s="726"/>
      <c r="E50" s="736"/>
      <c r="F50" s="726"/>
      <c r="G50" s="726"/>
      <c r="H50" s="739"/>
      <c r="I50" s="726"/>
      <c r="J50" s="742"/>
      <c r="K50" s="726"/>
      <c r="L50" s="726"/>
      <c r="M50" s="726"/>
      <c r="N50" s="726"/>
      <c r="O50" s="725"/>
      <c r="P50" s="726"/>
      <c r="Q50" s="747"/>
      <c r="R50" s="726"/>
      <c r="S50" s="726"/>
      <c r="T50" s="726"/>
      <c r="U50" s="748"/>
      <c r="V50" s="709"/>
      <c r="W50" s="752">
        <v>1198384</v>
      </c>
      <c r="X50" s="725"/>
      <c r="Y50" s="726"/>
      <c r="Z50" s="726">
        <f t="shared" si="0"/>
        <v>1198384</v>
      </c>
      <c r="AA50" s="726"/>
      <c r="AB50" s="726">
        <f t="shared" si="1"/>
        <v>1198384</v>
      </c>
    </row>
    <row r="51" spans="1:28" ht="17.25">
      <c r="A51" s="630" t="s">
        <v>388</v>
      </c>
      <c r="B51" s="733"/>
      <c r="C51" s="723">
        <v>1983040</v>
      </c>
      <c r="D51" s="725">
        <v>29959</v>
      </c>
      <c r="E51" s="735"/>
      <c r="F51" s="725">
        <v>4209084</v>
      </c>
      <c r="G51" s="725">
        <v>870604</v>
      </c>
      <c r="H51" s="738">
        <v>1549679</v>
      </c>
      <c r="I51" s="725">
        <v>2084973</v>
      </c>
      <c r="J51" s="744">
        <v>229654</v>
      </c>
      <c r="K51" s="725">
        <v>1156421</v>
      </c>
      <c r="L51" s="725">
        <v>1133322</v>
      </c>
      <c r="M51" s="725">
        <v>11913888</v>
      </c>
      <c r="N51" s="725">
        <v>19887091</v>
      </c>
      <c r="O51" s="746">
        <v>1202998</v>
      </c>
      <c r="P51" s="725">
        <v>894592.49</v>
      </c>
      <c r="Q51" s="725">
        <v>4600795</v>
      </c>
      <c r="R51" s="725">
        <v>4690114</v>
      </c>
      <c r="S51" s="725">
        <v>719260</v>
      </c>
      <c r="T51" s="725">
        <v>2102938</v>
      </c>
      <c r="U51" s="748"/>
      <c r="V51" s="749">
        <v>14626523</v>
      </c>
      <c r="W51" s="752">
        <v>885669</v>
      </c>
      <c r="X51" s="746">
        <v>879472</v>
      </c>
      <c r="Y51" s="725">
        <v>690312</v>
      </c>
      <c r="Z51" s="726">
        <f t="shared" si="0"/>
        <v>76340388.49000001</v>
      </c>
      <c r="AA51" s="725"/>
      <c r="AB51" s="726">
        <f t="shared" si="1"/>
        <v>76340388.49000001</v>
      </c>
    </row>
    <row r="52" spans="1:28" ht="17.25">
      <c r="A52" s="630" t="s">
        <v>421</v>
      </c>
      <c r="B52" s="733"/>
      <c r="C52" s="723"/>
      <c r="D52" s="725">
        <v>-273710</v>
      </c>
      <c r="E52" s="735"/>
      <c r="F52" s="725"/>
      <c r="G52" s="725">
        <v>-4403</v>
      </c>
      <c r="H52" s="738"/>
      <c r="I52" s="725"/>
      <c r="J52" s="744"/>
      <c r="K52" s="725"/>
      <c r="L52" s="725"/>
      <c r="M52" s="725"/>
      <c r="N52" s="725"/>
      <c r="O52" s="746"/>
      <c r="P52" s="725"/>
      <c r="Q52" s="725"/>
      <c r="R52" s="725"/>
      <c r="S52" s="725"/>
      <c r="T52" s="725"/>
      <c r="U52" s="748"/>
      <c r="V52" s="749"/>
      <c r="W52" s="752"/>
      <c r="X52" s="746"/>
      <c r="Y52" s="725"/>
      <c r="Z52" s="726">
        <f t="shared" si="0"/>
        <v>-278113</v>
      </c>
      <c r="AA52" s="725"/>
      <c r="AB52" s="726">
        <f t="shared" si="1"/>
        <v>-278113</v>
      </c>
    </row>
    <row r="53" spans="1:28" ht="17.25">
      <c r="A53" s="630" t="s">
        <v>389</v>
      </c>
      <c r="B53" s="733"/>
      <c r="C53" s="723"/>
      <c r="D53" s="725"/>
      <c r="E53" s="735"/>
      <c r="F53" s="725"/>
      <c r="G53" s="725"/>
      <c r="H53" s="738"/>
      <c r="I53" s="725"/>
      <c r="J53" s="744"/>
      <c r="K53" s="725"/>
      <c r="L53" s="725"/>
      <c r="M53" s="725"/>
      <c r="N53" s="725"/>
      <c r="O53" s="746"/>
      <c r="P53" s="725"/>
      <c r="Q53" s="725"/>
      <c r="R53" s="725"/>
      <c r="S53" s="725"/>
      <c r="T53" s="725"/>
      <c r="U53" s="748"/>
      <c r="V53" s="709"/>
      <c r="W53" s="752"/>
      <c r="X53" s="746"/>
      <c r="Y53" s="725"/>
      <c r="Z53" s="726">
        <f t="shared" si="0"/>
        <v>0</v>
      </c>
      <c r="AA53" s="725"/>
      <c r="AB53" s="726">
        <f t="shared" si="1"/>
        <v>0</v>
      </c>
    </row>
    <row r="54" spans="1:28" ht="17.25">
      <c r="A54" s="630" t="s">
        <v>390</v>
      </c>
      <c r="B54" s="733"/>
      <c r="C54" s="723">
        <v>35393</v>
      </c>
      <c r="D54" s="725">
        <v>239364</v>
      </c>
      <c r="E54" s="735"/>
      <c r="F54" s="725">
        <v>814027</v>
      </c>
      <c r="G54" s="725">
        <v>147314</v>
      </c>
      <c r="H54" s="738">
        <v>561242</v>
      </c>
      <c r="I54" s="725">
        <v>-41729</v>
      </c>
      <c r="J54" s="744">
        <v>11350</v>
      </c>
      <c r="K54" s="725">
        <v>2355554</v>
      </c>
      <c r="L54" s="725">
        <v>1229209</v>
      </c>
      <c r="M54" s="725">
        <v>-2199736</v>
      </c>
      <c r="N54" s="725">
        <v>1982536</v>
      </c>
      <c r="O54" s="746">
        <v>320226</v>
      </c>
      <c r="P54" s="725">
        <v>29810.82</v>
      </c>
      <c r="Q54" s="725">
        <v>-260004</v>
      </c>
      <c r="R54" s="725">
        <v>8464599</v>
      </c>
      <c r="S54" s="725">
        <v>1495089</v>
      </c>
      <c r="T54" s="725">
        <v>404443</v>
      </c>
      <c r="U54" s="748"/>
      <c r="V54" s="749">
        <v>4320455</v>
      </c>
      <c r="W54" s="752">
        <v>312715</v>
      </c>
      <c r="X54" s="746">
        <v>337283</v>
      </c>
      <c r="Y54" s="725">
        <v>5099405</v>
      </c>
      <c r="Z54" s="726">
        <f t="shared" si="0"/>
        <v>25658545.82</v>
      </c>
      <c r="AA54" s="725"/>
      <c r="AB54" s="726">
        <f t="shared" si="1"/>
        <v>25658545.82</v>
      </c>
    </row>
    <row r="55" spans="1:28" s="1083" customFormat="1" ht="18">
      <c r="A55" s="727" t="s">
        <v>391</v>
      </c>
      <c r="B55" s="1078"/>
      <c r="C55" s="724">
        <v>2018433</v>
      </c>
      <c r="D55" s="726">
        <v>-4387</v>
      </c>
      <c r="E55" s="736"/>
      <c r="F55" s="726">
        <v>5023111</v>
      </c>
      <c r="G55" s="726">
        <v>1013515</v>
      </c>
      <c r="H55" s="739"/>
      <c r="I55" s="726">
        <v>2043244</v>
      </c>
      <c r="J55" s="131">
        <v>241004</v>
      </c>
      <c r="K55" s="726">
        <v>3511975</v>
      </c>
      <c r="L55" s="726">
        <v>2362531</v>
      </c>
      <c r="M55" s="726">
        <v>9714152</v>
      </c>
      <c r="N55" s="726">
        <v>21869627</v>
      </c>
      <c r="O55" s="1082">
        <v>1523224</v>
      </c>
      <c r="P55" s="726">
        <v>924403.31</v>
      </c>
      <c r="Q55" s="726">
        <v>4340791</v>
      </c>
      <c r="R55" s="726"/>
      <c r="S55" s="726">
        <v>2214349</v>
      </c>
      <c r="T55" s="726">
        <v>2507381</v>
      </c>
      <c r="U55" s="1080"/>
      <c r="V55" s="750">
        <v>18946979</v>
      </c>
      <c r="W55" s="1081"/>
      <c r="X55" s="1082">
        <v>1216755</v>
      </c>
      <c r="Y55" s="726">
        <v>5789717</v>
      </c>
      <c r="Z55" s="726">
        <f t="shared" si="0"/>
        <v>85256804.31</v>
      </c>
      <c r="AA55" s="726">
        <f>AA45</f>
        <v>0</v>
      </c>
      <c r="AB55" s="726">
        <f t="shared" si="1"/>
        <v>85256804.31</v>
      </c>
    </row>
    <row r="56" spans="1:28" ht="17.25">
      <c r="A56" s="630" t="s">
        <v>392</v>
      </c>
      <c r="B56" s="733"/>
      <c r="C56" s="724">
        <f>36450+1378</f>
        <v>37828</v>
      </c>
      <c r="D56" s="726">
        <v>1087</v>
      </c>
      <c r="E56" s="736"/>
      <c r="F56" s="726">
        <v>1346832</v>
      </c>
      <c r="G56" s="726"/>
      <c r="H56" s="739">
        <v>17668</v>
      </c>
      <c r="I56" s="726">
        <v>223</v>
      </c>
      <c r="J56" s="131">
        <v>288</v>
      </c>
      <c r="K56" s="726"/>
      <c r="L56" s="726">
        <f>5528+10677</f>
        <v>16205</v>
      </c>
      <c r="M56" s="726">
        <f>585006+7899387</f>
        <v>8484393</v>
      </c>
      <c r="N56" s="726">
        <v>739550</v>
      </c>
      <c r="O56" s="745"/>
      <c r="P56" s="726"/>
      <c r="Q56" s="747">
        <v>269181</v>
      </c>
      <c r="R56" s="726">
        <v>16550</v>
      </c>
      <c r="S56" s="726">
        <v>30187</v>
      </c>
      <c r="T56" s="726">
        <v>6586</v>
      </c>
      <c r="U56" s="748"/>
      <c r="V56" s="749">
        <v>755865</v>
      </c>
      <c r="W56" s="752">
        <v>3422</v>
      </c>
      <c r="X56" s="725">
        <v>145</v>
      </c>
      <c r="Y56" s="726"/>
      <c r="Z56" s="726">
        <f t="shared" si="0"/>
        <v>11726010</v>
      </c>
      <c r="AA56" s="726"/>
      <c r="AB56" s="726">
        <f t="shared" si="1"/>
        <v>11726010</v>
      </c>
    </row>
    <row r="57" spans="1:28" ht="17.25">
      <c r="A57" s="630" t="s">
        <v>393</v>
      </c>
      <c r="B57" s="733"/>
      <c r="C57" s="723">
        <v>2553162</v>
      </c>
      <c r="D57" s="725">
        <v>268546</v>
      </c>
      <c r="E57" s="735"/>
      <c r="F57" s="725">
        <v>4147550</v>
      </c>
      <c r="G57" s="725">
        <v>858518</v>
      </c>
      <c r="H57" s="738">
        <v>609070</v>
      </c>
      <c r="I57" s="725">
        <v>104902</v>
      </c>
      <c r="J57" s="744">
        <v>309386</v>
      </c>
      <c r="K57" s="725"/>
      <c r="L57" s="725">
        <v>618345</v>
      </c>
      <c r="M57" s="725">
        <v>8028593</v>
      </c>
      <c r="N57" s="725">
        <v>5132635</v>
      </c>
      <c r="O57" s="746"/>
      <c r="P57" s="725"/>
      <c r="Q57" s="725">
        <v>3915079</v>
      </c>
      <c r="R57" s="725">
        <v>13119232</v>
      </c>
      <c r="S57" s="725">
        <v>3024133</v>
      </c>
      <c r="T57" s="725">
        <v>1955936</v>
      </c>
      <c r="U57" s="748"/>
      <c r="V57" s="709">
        <v>12963341</v>
      </c>
      <c r="W57" s="752">
        <v>938556</v>
      </c>
      <c r="X57" s="746">
        <v>197029</v>
      </c>
      <c r="Y57" s="725">
        <v>4900279</v>
      </c>
      <c r="Z57" s="726">
        <f t="shared" si="0"/>
        <v>63644292</v>
      </c>
      <c r="AA57" s="725"/>
      <c r="AB57" s="726">
        <f t="shared" si="1"/>
        <v>63644292</v>
      </c>
    </row>
    <row r="58" spans="1:28" ht="18" thickBot="1">
      <c r="A58" s="1129" t="s">
        <v>394</v>
      </c>
      <c r="B58" s="1130"/>
      <c r="C58" s="1131"/>
      <c r="D58" s="1132">
        <v>-4387</v>
      </c>
      <c r="E58" s="1133"/>
      <c r="F58" s="1132">
        <v>5023111</v>
      </c>
      <c r="G58" s="1132">
        <v>1013515</v>
      </c>
      <c r="H58" s="1134">
        <v>2110921</v>
      </c>
      <c r="I58" s="1132">
        <v>2043244</v>
      </c>
      <c r="J58" s="1135">
        <v>241004</v>
      </c>
      <c r="K58" s="1132"/>
      <c r="L58" s="1132">
        <v>2362531</v>
      </c>
      <c r="M58" s="1132">
        <v>9714152</v>
      </c>
      <c r="N58" s="1132">
        <v>21869627</v>
      </c>
      <c r="O58" s="1136"/>
      <c r="P58" s="1132"/>
      <c r="Q58" s="1132">
        <v>-260004</v>
      </c>
      <c r="R58" s="1132">
        <v>35652415</v>
      </c>
      <c r="S58" s="1132">
        <v>2214349</v>
      </c>
      <c r="T58" s="1132">
        <v>2507381</v>
      </c>
      <c r="U58" s="1137"/>
      <c r="V58" s="1138">
        <v>18946979</v>
      </c>
      <c r="W58" s="1139">
        <v>1116752</v>
      </c>
      <c r="X58" s="1136">
        <v>898292</v>
      </c>
      <c r="Y58" s="1139">
        <v>5789717</v>
      </c>
      <c r="Z58" s="1140">
        <f t="shared" si="0"/>
        <v>111239599</v>
      </c>
      <c r="AA58" s="1132"/>
      <c r="AB58" s="1140">
        <f t="shared" si="1"/>
        <v>111239599</v>
      </c>
    </row>
    <row r="59" spans="1:28" s="1083" customFormat="1" ht="18.75" thickBot="1">
      <c r="A59" s="1141" t="s">
        <v>395</v>
      </c>
      <c r="B59" s="1142"/>
      <c r="C59" s="1143">
        <v>4609423</v>
      </c>
      <c r="D59" s="1144">
        <v>265246</v>
      </c>
      <c r="E59" s="1145"/>
      <c r="F59" s="1144">
        <v>10517493</v>
      </c>
      <c r="G59" s="1144">
        <v>1872033</v>
      </c>
      <c r="H59" s="1146">
        <v>2737659</v>
      </c>
      <c r="I59" s="1144">
        <v>2148369</v>
      </c>
      <c r="J59" s="1147">
        <v>550678</v>
      </c>
      <c r="K59" s="1144"/>
      <c r="L59" s="1144">
        <v>2997081</v>
      </c>
      <c r="M59" s="1144">
        <v>26227138</v>
      </c>
      <c r="N59" s="1144">
        <v>27741812</v>
      </c>
      <c r="O59" s="1148"/>
      <c r="P59" s="1144"/>
      <c r="Q59" s="1144">
        <v>3924256</v>
      </c>
      <c r="R59" s="1144">
        <v>48788197</v>
      </c>
      <c r="S59" s="1144">
        <v>5268669</v>
      </c>
      <c r="T59" s="1144">
        <v>4469903</v>
      </c>
      <c r="U59" s="1149"/>
      <c r="V59" s="1150">
        <v>32666185</v>
      </c>
      <c r="W59" s="1151">
        <v>2058730</v>
      </c>
      <c r="X59" s="1148">
        <v>1095466</v>
      </c>
      <c r="Y59" s="1144">
        <v>10689996</v>
      </c>
      <c r="Z59" s="1144">
        <f t="shared" si="0"/>
        <v>188628334</v>
      </c>
      <c r="AA59" s="1144"/>
      <c r="AB59" s="1144">
        <f t="shared" si="1"/>
        <v>188628334</v>
      </c>
    </row>
  </sheetData>
  <sheetProtection/>
  <mergeCells count="2">
    <mergeCell ref="A1:AB1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2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R4" sqref="R4"/>
    </sheetView>
  </sheetViews>
  <sheetFormatPr defaultColWidth="9.140625" defaultRowHeight="15"/>
  <cols>
    <col min="1" max="1" width="38.421875" style="790" bestFit="1" customWidth="1"/>
    <col min="2" max="19" width="19.8515625" style="118" bestFit="1" customWidth="1"/>
    <col min="20" max="20" width="19.8515625" style="702" bestFit="1" customWidth="1"/>
    <col min="21" max="26" width="19.8515625" style="118" bestFit="1" customWidth="1"/>
    <col min="27" max="27" width="19.8515625" style="702" bestFit="1" customWidth="1"/>
    <col min="28" max="16384" width="9.140625" style="702" customWidth="1"/>
  </cols>
  <sheetData>
    <row r="1" spans="1:27" ht="57.75" thickBot="1">
      <c r="A1" s="1232" t="s">
        <v>323</v>
      </c>
      <c r="B1" s="789" t="s">
        <v>184</v>
      </c>
      <c r="C1" s="784" t="s">
        <v>185</v>
      </c>
      <c r="D1" s="784" t="s">
        <v>186</v>
      </c>
      <c r="E1" s="784" t="s">
        <v>187</v>
      </c>
      <c r="F1" s="784" t="s">
        <v>188</v>
      </c>
      <c r="G1" s="784" t="s">
        <v>189</v>
      </c>
      <c r="H1" s="784" t="s">
        <v>527</v>
      </c>
      <c r="I1" s="784" t="s">
        <v>190</v>
      </c>
      <c r="J1" s="784" t="s">
        <v>191</v>
      </c>
      <c r="K1" s="784" t="s">
        <v>192</v>
      </c>
      <c r="L1" s="784" t="s">
        <v>193</v>
      </c>
      <c r="M1" s="784" t="s">
        <v>194</v>
      </c>
      <c r="N1" s="784" t="s">
        <v>195</v>
      </c>
      <c r="O1" s="784" t="s">
        <v>196</v>
      </c>
      <c r="P1" s="621" t="s">
        <v>197</v>
      </c>
      <c r="Q1" s="784" t="s">
        <v>198</v>
      </c>
      <c r="R1" s="784" t="s">
        <v>199</v>
      </c>
      <c r="S1" s="784" t="s">
        <v>200</v>
      </c>
      <c r="T1" s="786" t="s">
        <v>201</v>
      </c>
      <c r="U1" s="787" t="s">
        <v>202</v>
      </c>
      <c r="V1" s="788" t="s">
        <v>203</v>
      </c>
      <c r="W1" s="784" t="s">
        <v>204</v>
      </c>
      <c r="X1" s="1640" t="s">
        <v>205</v>
      </c>
      <c r="Y1" s="1641" t="s">
        <v>1</v>
      </c>
      <c r="Z1" s="621" t="s">
        <v>206</v>
      </c>
      <c r="AA1" s="792" t="s">
        <v>2</v>
      </c>
    </row>
    <row r="2" spans="1:27" s="862" customFormat="1" ht="31.5" customHeight="1" thickBot="1">
      <c r="A2" s="850" t="s">
        <v>0</v>
      </c>
      <c r="B2" s="861" t="s">
        <v>448</v>
      </c>
      <c r="C2" s="861" t="s">
        <v>448</v>
      </c>
      <c r="D2" s="861" t="s">
        <v>448</v>
      </c>
      <c r="E2" s="861" t="s">
        <v>448</v>
      </c>
      <c r="F2" s="861" t="s">
        <v>448</v>
      </c>
      <c r="G2" s="861" t="s">
        <v>448</v>
      </c>
      <c r="H2" s="861" t="s">
        <v>448</v>
      </c>
      <c r="I2" s="861" t="s">
        <v>448</v>
      </c>
      <c r="J2" s="861" t="s">
        <v>448</v>
      </c>
      <c r="K2" s="861" t="s">
        <v>448</v>
      </c>
      <c r="L2" s="861" t="s">
        <v>448</v>
      </c>
      <c r="M2" s="861" t="s">
        <v>448</v>
      </c>
      <c r="N2" s="861" t="s">
        <v>448</v>
      </c>
      <c r="O2" s="861" t="s">
        <v>448</v>
      </c>
      <c r="P2" s="861" t="s">
        <v>448</v>
      </c>
      <c r="Q2" s="861" t="s">
        <v>448</v>
      </c>
      <c r="R2" s="861" t="s">
        <v>448</v>
      </c>
      <c r="S2" s="861" t="s">
        <v>448</v>
      </c>
      <c r="T2" s="861" t="s">
        <v>448</v>
      </c>
      <c r="U2" s="861" t="s">
        <v>448</v>
      </c>
      <c r="V2" s="861" t="s">
        <v>448</v>
      </c>
      <c r="W2" s="861" t="s">
        <v>448</v>
      </c>
      <c r="X2" s="861" t="s">
        <v>448</v>
      </c>
      <c r="Y2" s="861" t="s">
        <v>448</v>
      </c>
      <c r="Z2" s="861" t="s">
        <v>448</v>
      </c>
      <c r="AA2" s="861" t="s">
        <v>448</v>
      </c>
    </row>
    <row r="3" spans="1:27" ht="14.25">
      <c r="A3" s="180" t="s">
        <v>324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783"/>
      <c r="U3" s="648"/>
      <c r="V3" s="649"/>
      <c r="W3" s="643"/>
      <c r="X3" s="944"/>
      <c r="Y3" s="649"/>
      <c r="Z3" s="643"/>
      <c r="AA3" s="793"/>
    </row>
    <row r="4" spans="1:27" ht="12.75">
      <c r="A4" s="704" t="s">
        <v>325</v>
      </c>
      <c r="B4" s="623"/>
      <c r="C4" s="623"/>
      <c r="D4" s="623" t="s">
        <v>429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703"/>
      <c r="U4" s="116"/>
      <c r="V4" s="117"/>
      <c r="W4" s="623"/>
      <c r="X4" s="651"/>
      <c r="Y4" s="117"/>
      <c r="Z4" s="623"/>
      <c r="AA4" s="785"/>
    </row>
    <row r="5" spans="1:27" ht="12.75">
      <c r="A5" s="115" t="s">
        <v>326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703"/>
      <c r="U5" s="116"/>
      <c r="V5" s="117"/>
      <c r="W5" s="623"/>
      <c r="X5" s="651"/>
      <c r="Y5" s="117"/>
      <c r="Z5" s="623"/>
      <c r="AA5" s="785"/>
    </row>
    <row r="6" spans="1:27" ht="12.75">
      <c r="A6" s="115" t="s">
        <v>327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>
        <v>452157</v>
      </c>
      <c r="Q6" s="623"/>
      <c r="R6" s="623"/>
      <c r="S6" s="623"/>
      <c r="T6" s="703"/>
      <c r="U6" s="116"/>
      <c r="V6" s="117"/>
      <c r="W6" s="623"/>
      <c r="X6" s="651"/>
      <c r="Y6" s="117">
        <f aca="true" t="shared" si="0" ref="Y6:Y42">SUM(B6:X6)</f>
        <v>452157</v>
      </c>
      <c r="Z6" s="623"/>
      <c r="AA6" s="623">
        <f>Y6+Z6</f>
        <v>452157</v>
      </c>
    </row>
    <row r="7" spans="1:27" ht="12.75">
      <c r="A7" s="115" t="s">
        <v>328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703"/>
      <c r="U7" s="116"/>
      <c r="V7" s="117"/>
      <c r="W7" s="623"/>
      <c r="X7" s="651"/>
      <c r="Y7" s="117">
        <f t="shared" si="0"/>
        <v>0</v>
      </c>
      <c r="Z7" s="623"/>
      <c r="AA7" s="623">
        <f aca="true" t="shared" si="1" ref="AA7:AA42">Y7+Z7</f>
        <v>0</v>
      </c>
    </row>
    <row r="8" spans="1:27" ht="12.75">
      <c r="A8" s="115" t="s">
        <v>329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703"/>
      <c r="U8" s="116"/>
      <c r="V8" s="117"/>
      <c r="W8" s="623"/>
      <c r="X8" s="651"/>
      <c r="Y8" s="117">
        <f t="shared" si="0"/>
        <v>0</v>
      </c>
      <c r="Z8" s="623"/>
      <c r="AA8" s="623">
        <f t="shared" si="1"/>
        <v>0</v>
      </c>
    </row>
    <row r="9" spans="1:27" ht="12.75">
      <c r="A9" s="115" t="s">
        <v>330</v>
      </c>
      <c r="B9" s="623">
        <v>1662941</v>
      </c>
      <c r="C9" s="623">
        <v>20238</v>
      </c>
      <c r="D9" s="623"/>
      <c r="E9" s="623">
        <v>4174678</v>
      </c>
      <c r="F9" s="623">
        <v>180478</v>
      </c>
      <c r="G9" s="623">
        <v>10576</v>
      </c>
      <c r="H9" s="623">
        <v>387320</v>
      </c>
      <c r="I9" s="623">
        <v>95119</v>
      </c>
      <c r="J9" s="623">
        <v>4568921</v>
      </c>
      <c r="K9" s="623">
        <v>157017</v>
      </c>
      <c r="L9" s="623">
        <v>2990512</v>
      </c>
      <c r="M9" s="623">
        <v>4630874</v>
      </c>
      <c r="N9" s="623">
        <v>74790</v>
      </c>
      <c r="O9" s="623">
        <v>86556.71</v>
      </c>
      <c r="P9" s="623">
        <v>439381</v>
      </c>
      <c r="Q9" s="623">
        <v>4264484</v>
      </c>
      <c r="R9" s="623">
        <v>582598</v>
      </c>
      <c r="S9" s="623">
        <v>501103</v>
      </c>
      <c r="T9" s="703"/>
      <c r="U9" s="116">
        <v>719065</v>
      </c>
      <c r="V9" s="117">
        <v>431534</v>
      </c>
      <c r="W9" s="623">
        <v>104707</v>
      </c>
      <c r="X9" s="651">
        <v>4201429</v>
      </c>
      <c r="Y9" s="117">
        <f t="shared" si="0"/>
        <v>30284321.71</v>
      </c>
      <c r="Z9" s="623"/>
      <c r="AA9" s="623">
        <f t="shared" si="1"/>
        <v>30284321.71</v>
      </c>
    </row>
    <row r="10" spans="1:27" ht="12.75">
      <c r="A10" s="115" t="s">
        <v>331</v>
      </c>
      <c r="B10" s="623"/>
      <c r="C10" s="949"/>
      <c r="D10" s="623"/>
      <c r="E10" s="623"/>
      <c r="F10" s="623"/>
      <c r="G10" s="623"/>
      <c r="H10" s="623"/>
      <c r="I10" s="623">
        <v>4381</v>
      </c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703"/>
      <c r="U10" s="116">
        <v>2925750</v>
      </c>
      <c r="V10" s="117"/>
      <c r="W10" s="623"/>
      <c r="X10" s="651"/>
      <c r="Y10" s="117">
        <f t="shared" si="0"/>
        <v>2930131</v>
      </c>
      <c r="Z10" s="623"/>
      <c r="AA10" s="623">
        <f t="shared" si="1"/>
        <v>2930131</v>
      </c>
    </row>
    <row r="11" spans="1:27" ht="12.75">
      <c r="A11" s="704" t="s">
        <v>332</v>
      </c>
      <c r="B11" s="623"/>
      <c r="C11" s="623">
        <v>663255</v>
      </c>
      <c r="D11" s="623"/>
      <c r="E11" s="623"/>
      <c r="F11" s="623"/>
      <c r="G11" s="623"/>
      <c r="H11" s="623"/>
      <c r="I11" s="623"/>
      <c r="J11" s="623">
        <v>1274</v>
      </c>
      <c r="K11" s="623"/>
      <c r="L11" s="623"/>
      <c r="M11" s="623"/>
      <c r="N11" s="623"/>
      <c r="O11" s="623"/>
      <c r="P11" s="623"/>
      <c r="Q11" s="623"/>
      <c r="R11" s="623"/>
      <c r="S11" s="623"/>
      <c r="T11" s="703"/>
      <c r="U11" s="116"/>
      <c r="V11" s="117"/>
      <c r="W11" s="623"/>
      <c r="X11" s="651"/>
      <c r="Y11" s="117">
        <f t="shared" si="0"/>
        <v>664529</v>
      </c>
      <c r="Z11" s="623"/>
      <c r="AA11" s="623">
        <f t="shared" si="1"/>
        <v>664529</v>
      </c>
    </row>
    <row r="12" spans="1:27" ht="12.75">
      <c r="A12" s="704" t="s">
        <v>438</v>
      </c>
      <c r="B12" s="623"/>
      <c r="C12" s="623"/>
      <c r="D12" s="623"/>
      <c r="E12" s="623"/>
      <c r="F12" s="623"/>
      <c r="G12" s="623"/>
      <c r="H12" s="623"/>
      <c r="I12" s="623">
        <v>-1162</v>
      </c>
      <c r="J12" s="623"/>
      <c r="K12" s="623">
        <v>2013</v>
      </c>
      <c r="L12" s="623"/>
      <c r="M12" s="623"/>
      <c r="N12" s="623"/>
      <c r="O12" s="623"/>
      <c r="P12" s="623"/>
      <c r="Q12" s="623"/>
      <c r="R12" s="623"/>
      <c r="S12" s="623"/>
      <c r="T12" s="703"/>
      <c r="U12" s="116"/>
      <c r="V12" s="117"/>
      <c r="W12" s="623"/>
      <c r="X12" s="651"/>
      <c r="Y12" s="117"/>
      <c r="Z12" s="623"/>
      <c r="AA12" s="623"/>
    </row>
    <row r="13" spans="1:27" s="1315" customFormat="1" ht="14.25">
      <c r="A13" s="1283" t="s">
        <v>54</v>
      </c>
      <c r="B13" s="1309">
        <f>B9</f>
        <v>1662941</v>
      </c>
      <c r="C13" s="1310">
        <f>C9+C11</f>
        <v>683493</v>
      </c>
      <c r="D13" s="1309"/>
      <c r="E13" s="1309">
        <f>E9</f>
        <v>4174678</v>
      </c>
      <c r="F13" s="1309">
        <f>F9</f>
        <v>180478</v>
      </c>
      <c r="G13" s="1309">
        <f>SUM(G5:G11)</f>
        <v>10576</v>
      </c>
      <c r="H13" s="1309">
        <f>SUM(H5:H11)</f>
        <v>387320</v>
      </c>
      <c r="I13" s="1309">
        <v>98338</v>
      </c>
      <c r="J13" s="1309">
        <f>SUM(J5:J11)</f>
        <v>4570195</v>
      </c>
      <c r="K13" s="1309">
        <v>159030</v>
      </c>
      <c r="L13" s="1309">
        <f>SUM(L5:L11)</f>
        <v>2990512</v>
      </c>
      <c r="M13" s="1309">
        <f>SUM(M5:M11)</f>
        <v>4630874</v>
      </c>
      <c r="N13" s="1309">
        <f>SUM(N5:N11)</f>
        <v>74790</v>
      </c>
      <c r="O13" s="1309">
        <f>SUM(O5:O11)</f>
        <v>86556.71</v>
      </c>
      <c r="P13" s="1309">
        <f>SUM(P5:P11)</f>
        <v>891538</v>
      </c>
      <c r="Q13" s="1309">
        <f>Q9</f>
        <v>4264484</v>
      </c>
      <c r="R13" s="1309">
        <f>R9</f>
        <v>582598</v>
      </c>
      <c r="S13" s="1309">
        <f>SUM(S5:S11)</f>
        <v>501103</v>
      </c>
      <c r="T13" s="1311"/>
      <c r="U13" s="1312">
        <f>SUM(U5:U11)</f>
        <v>3644815</v>
      </c>
      <c r="V13" s="1313">
        <f>SUM(V5:V11)</f>
        <v>431534</v>
      </c>
      <c r="W13" s="1309">
        <f>SUM(W5:W11)</f>
        <v>104707</v>
      </c>
      <c r="X13" s="1314">
        <f>X9</f>
        <v>4201429</v>
      </c>
      <c r="Y13" s="1313">
        <f t="shared" si="0"/>
        <v>34331989.71</v>
      </c>
      <c r="Z13" s="1309">
        <f>SUM(Z6:Z12)</f>
        <v>0</v>
      </c>
      <c r="AA13" s="1309">
        <f t="shared" si="1"/>
        <v>34331989.71</v>
      </c>
    </row>
    <row r="14" spans="1:27" ht="14.25">
      <c r="A14" s="143" t="s">
        <v>333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703"/>
      <c r="U14" s="116"/>
      <c r="V14" s="117"/>
      <c r="W14" s="623"/>
      <c r="X14" s="651"/>
      <c r="Y14" s="117">
        <f t="shared" si="0"/>
        <v>0</v>
      </c>
      <c r="Z14" s="623"/>
      <c r="AA14" s="623">
        <f t="shared" si="1"/>
        <v>0</v>
      </c>
    </row>
    <row r="15" spans="1:27" ht="12.75">
      <c r="A15" s="115" t="s">
        <v>334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703"/>
      <c r="U15" s="116"/>
      <c r="V15" s="117"/>
      <c r="W15" s="623"/>
      <c r="X15" s="651"/>
      <c r="Y15" s="117">
        <f t="shared" si="0"/>
        <v>0</v>
      </c>
      <c r="Z15" s="623"/>
      <c r="AA15" s="623">
        <f t="shared" si="1"/>
        <v>0</v>
      </c>
    </row>
    <row r="16" spans="1:27" ht="12.75">
      <c r="A16" s="115" t="s">
        <v>335</v>
      </c>
      <c r="B16" s="623"/>
      <c r="C16" s="949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703"/>
      <c r="U16" s="116">
        <v>2925750</v>
      </c>
      <c r="V16" s="117"/>
      <c r="W16" s="623"/>
      <c r="X16" s="651"/>
      <c r="Y16" s="117">
        <f t="shared" si="0"/>
        <v>2925750</v>
      </c>
      <c r="Z16" s="623"/>
      <c r="AA16" s="623">
        <f t="shared" si="1"/>
        <v>2925750</v>
      </c>
    </row>
    <row r="17" spans="1:27" ht="12.75">
      <c r="A17" s="115" t="s">
        <v>336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703"/>
      <c r="U17" s="116"/>
      <c r="V17" s="117"/>
      <c r="W17" s="623"/>
      <c r="X17" s="651"/>
      <c r="Y17" s="117">
        <f t="shared" si="0"/>
        <v>0</v>
      </c>
      <c r="Z17" s="623"/>
      <c r="AA17" s="623">
        <f t="shared" si="1"/>
        <v>0</v>
      </c>
    </row>
    <row r="18" spans="1:27" ht="12.75">
      <c r="A18" s="115" t="s">
        <v>337</v>
      </c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703"/>
      <c r="U18" s="116"/>
      <c r="V18" s="117"/>
      <c r="W18" s="623"/>
      <c r="X18" s="651"/>
      <c r="Y18" s="117">
        <f t="shared" si="0"/>
        <v>0</v>
      </c>
      <c r="Z18" s="623"/>
      <c r="AA18" s="623">
        <f t="shared" si="1"/>
        <v>0</v>
      </c>
    </row>
    <row r="19" spans="1:27" ht="12.75">
      <c r="A19" s="115" t="s">
        <v>338</v>
      </c>
      <c r="B19" s="623">
        <f>B9</f>
        <v>1662941</v>
      </c>
      <c r="C19" s="623">
        <v>20238</v>
      </c>
      <c r="D19" s="623"/>
      <c r="E19" s="623">
        <f>E9</f>
        <v>4174678</v>
      </c>
      <c r="F19" s="623">
        <f>F9</f>
        <v>180478</v>
      </c>
      <c r="G19" s="623">
        <v>10576</v>
      </c>
      <c r="H19" s="623">
        <v>387320</v>
      </c>
      <c r="I19" s="623">
        <f>I9</f>
        <v>95119</v>
      </c>
      <c r="J19" s="623">
        <v>4568921</v>
      </c>
      <c r="K19" s="623">
        <v>157017</v>
      </c>
      <c r="L19" s="623">
        <v>2990512</v>
      </c>
      <c r="M19" s="623">
        <f>M13</f>
        <v>4630874</v>
      </c>
      <c r="N19" s="623">
        <f>N13</f>
        <v>74790</v>
      </c>
      <c r="O19" s="623">
        <f>O13</f>
        <v>86556.71</v>
      </c>
      <c r="P19" s="623">
        <v>452157</v>
      </c>
      <c r="Q19" s="623">
        <f>Q13</f>
        <v>4264484</v>
      </c>
      <c r="R19" s="623">
        <f>R9</f>
        <v>582598</v>
      </c>
      <c r="S19" s="623">
        <f>S13</f>
        <v>501103</v>
      </c>
      <c r="T19" s="703"/>
      <c r="U19" s="116">
        <v>719065</v>
      </c>
      <c r="V19" s="117">
        <v>431534</v>
      </c>
      <c r="W19" s="623">
        <f>W13</f>
        <v>104707</v>
      </c>
      <c r="X19" s="651">
        <f>X9</f>
        <v>4201429</v>
      </c>
      <c r="Y19" s="117">
        <f t="shared" si="0"/>
        <v>30297097.71</v>
      </c>
      <c r="Z19" s="623"/>
      <c r="AA19" s="623">
        <f t="shared" si="1"/>
        <v>30297097.71</v>
      </c>
    </row>
    <row r="20" spans="1:27" ht="12.75">
      <c r="A20" s="115" t="s">
        <v>339</v>
      </c>
      <c r="B20" s="623"/>
      <c r="C20" s="623">
        <v>663255</v>
      </c>
      <c r="D20" s="623"/>
      <c r="E20" s="623"/>
      <c r="F20" s="623"/>
      <c r="G20" s="623"/>
      <c r="H20" s="623"/>
      <c r="I20" s="623">
        <f>I10</f>
        <v>4381</v>
      </c>
      <c r="J20" s="623">
        <v>1274</v>
      </c>
      <c r="K20" s="623">
        <v>2013</v>
      </c>
      <c r="L20" s="623"/>
      <c r="M20" s="623"/>
      <c r="N20" s="623"/>
      <c r="O20" s="623"/>
      <c r="P20" s="623">
        <v>439381</v>
      </c>
      <c r="Q20" s="623"/>
      <c r="R20" s="623"/>
      <c r="S20" s="623"/>
      <c r="T20" s="703"/>
      <c r="U20" s="116"/>
      <c r="V20" s="117"/>
      <c r="W20" s="623"/>
      <c r="X20" s="651"/>
      <c r="Y20" s="117">
        <f t="shared" si="0"/>
        <v>1110304</v>
      </c>
      <c r="Z20" s="623"/>
      <c r="AA20" s="623">
        <f t="shared" si="1"/>
        <v>1110304</v>
      </c>
    </row>
    <row r="21" spans="1:27" ht="12.75">
      <c r="A21" s="704" t="s">
        <v>438</v>
      </c>
      <c r="B21" s="623"/>
      <c r="C21" s="623"/>
      <c r="D21" s="623"/>
      <c r="E21" s="623"/>
      <c r="F21" s="623"/>
      <c r="G21" s="623"/>
      <c r="H21" s="623"/>
      <c r="I21" s="623">
        <v>-1162</v>
      </c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703"/>
      <c r="U21" s="116"/>
      <c r="V21" s="117"/>
      <c r="W21" s="623"/>
      <c r="X21" s="651"/>
      <c r="Y21" s="117"/>
      <c r="Z21" s="623"/>
      <c r="AA21" s="623"/>
    </row>
    <row r="22" spans="1:27" ht="14.25">
      <c r="A22" s="143" t="s">
        <v>54</v>
      </c>
      <c r="B22" s="623">
        <f>B9</f>
        <v>1662941</v>
      </c>
      <c r="C22" s="949">
        <f>C19+C20</f>
        <v>683493</v>
      </c>
      <c r="D22" s="623"/>
      <c r="E22" s="623">
        <f>E19</f>
        <v>4174678</v>
      </c>
      <c r="F22" s="623">
        <f>F9</f>
        <v>180478</v>
      </c>
      <c r="G22" s="623">
        <v>10576</v>
      </c>
      <c r="H22" s="623">
        <f>H19</f>
        <v>387320</v>
      </c>
      <c r="I22" s="623">
        <f>I13</f>
        <v>98338</v>
      </c>
      <c r="J22" s="623">
        <f>J13</f>
        <v>4570195</v>
      </c>
      <c r="K22" s="623">
        <v>159030</v>
      </c>
      <c r="L22" s="623">
        <f>L13</f>
        <v>2990512</v>
      </c>
      <c r="M22" s="623">
        <f>M13</f>
        <v>4630874</v>
      </c>
      <c r="N22" s="623">
        <f>N19</f>
        <v>74790</v>
      </c>
      <c r="O22" s="623">
        <f>O19</f>
        <v>86556.71</v>
      </c>
      <c r="P22" s="623">
        <f>P13</f>
        <v>891538</v>
      </c>
      <c r="Q22" s="623">
        <f>Q19</f>
        <v>4264484</v>
      </c>
      <c r="R22" s="623">
        <f>R9</f>
        <v>582598</v>
      </c>
      <c r="S22" s="623">
        <f>S19</f>
        <v>501103</v>
      </c>
      <c r="T22" s="703"/>
      <c r="U22" s="116">
        <f>U13</f>
        <v>3644815</v>
      </c>
      <c r="V22" s="117">
        <f>V9</f>
        <v>431534</v>
      </c>
      <c r="W22" s="623">
        <f>W19</f>
        <v>104707</v>
      </c>
      <c r="X22" s="651">
        <f>X9</f>
        <v>4201429</v>
      </c>
      <c r="Y22" s="117">
        <f t="shared" si="0"/>
        <v>34331989.71</v>
      </c>
      <c r="Z22" s="623"/>
      <c r="AA22" s="623">
        <f t="shared" si="1"/>
        <v>34331989.71</v>
      </c>
    </row>
    <row r="23" spans="1:27" ht="14.25">
      <c r="A23" s="143" t="s">
        <v>340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703"/>
      <c r="U23" s="116"/>
      <c r="V23" s="117"/>
      <c r="W23" s="623"/>
      <c r="X23" s="651"/>
      <c r="Y23" s="117">
        <f t="shared" si="0"/>
        <v>0</v>
      </c>
      <c r="Z23" s="623"/>
      <c r="AA23" s="623">
        <f t="shared" si="1"/>
        <v>0</v>
      </c>
    </row>
    <row r="24" spans="1:27" ht="12.75">
      <c r="A24" s="115" t="s">
        <v>341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703"/>
      <c r="U24" s="116"/>
      <c r="V24" s="117"/>
      <c r="W24" s="623"/>
      <c r="X24" s="651"/>
      <c r="Y24" s="117">
        <f t="shared" si="0"/>
        <v>0</v>
      </c>
      <c r="Z24" s="623"/>
      <c r="AA24" s="623">
        <f t="shared" si="1"/>
        <v>0</v>
      </c>
    </row>
    <row r="25" spans="1:27" ht="12.75">
      <c r="A25" s="115" t="s">
        <v>342</v>
      </c>
      <c r="B25" s="623">
        <f>B9</f>
        <v>1662941</v>
      </c>
      <c r="C25" s="949">
        <f>C22</f>
        <v>683493</v>
      </c>
      <c r="D25" s="623"/>
      <c r="E25" s="623">
        <f>E22</f>
        <v>4174678</v>
      </c>
      <c r="F25" s="623">
        <f>F9</f>
        <v>180478</v>
      </c>
      <c r="G25" s="623">
        <v>10576</v>
      </c>
      <c r="H25" s="623">
        <f>H19</f>
        <v>387320</v>
      </c>
      <c r="I25" s="623">
        <f>I22</f>
        <v>98338</v>
      </c>
      <c r="J25" s="623">
        <f>J22</f>
        <v>4570195</v>
      </c>
      <c r="K25" s="623">
        <f>K22</f>
        <v>159030</v>
      </c>
      <c r="L25" s="623">
        <f aca="true" t="shared" si="2" ref="L25:Q25">L22</f>
        <v>2990512</v>
      </c>
      <c r="M25" s="623">
        <f t="shared" si="2"/>
        <v>4630874</v>
      </c>
      <c r="N25" s="623">
        <f t="shared" si="2"/>
        <v>74790</v>
      </c>
      <c r="O25" s="623">
        <f t="shared" si="2"/>
        <v>86556.71</v>
      </c>
      <c r="P25" s="623">
        <f t="shared" si="2"/>
        <v>891538</v>
      </c>
      <c r="Q25" s="623">
        <f t="shared" si="2"/>
        <v>4264484</v>
      </c>
      <c r="R25" s="623">
        <f>R9</f>
        <v>582598</v>
      </c>
      <c r="S25" s="623">
        <f>S22</f>
        <v>501103</v>
      </c>
      <c r="T25" s="703"/>
      <c r="U25" s="116">
        <f>U22</f>
        <v>3644815</v>
      </c>
      <c r="V25" s="117">
        <f>V9</f>
        <v>431534</v>
      </c>
      <c r="W25" s="623">
        <f>W22</f>
        <v>104707</v>
      </c>
      <c r="X25" s="651">
        <f>X9</f>
        <v>4201429</v>
      </c>
      <c r="Y25" s="117">
        <f t="shared" si="0"/>
        <v>34331989.71</v>
      </c>
      <c r="Z25" s="623"/>
      <c r="AA25" s="623">
        <f t="shared" si="1"/>
        <v>34331989.71</v>
      </c>
    </row>
    <row r="26" spans="1:27" ht="12.75">
      <c r="A26" s="115" t="s">
        <v>343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703"/>
      <c r="U26" s="116"/>
      <c r="V26" s="117"/>
      <c r="W26" s="623"/>
      <c r="X26" s="651"/>
      <c r="Y26" s="117">
        <f t="shared" si="0"/>
        <v>0</v>
      </c>
      <c r="Z26" s="623"/>
      <c r="AA26" s="623">
        <f t="shared" si="1"/>
        <v>0</v>
      </c>
    </row>
    <row r="27" spans="1:27" ht="12.75">
      <c r="A27" s="704" t="s">
        <v>440</v>
      </c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703"/>
      <c r="U27" s="116"/>
      <c r="V27" s="117"/>
      <c r="W27" s="623"/>
      <c r="X27" s="651"/>
      <c r="Y27" s="117"/>
      <c r="Z27" s="623"/>
      <c r="AA27" s="623"/>
    </row>
    <row r="28" spans="1:27" ht="12.75">
      <c r="A28" s="115" t="s">
        <v>344</v>
      </c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  <c r="R28" s="623"/>
      <c r="S28" s="623"/>
      <c r="T28" s="703"/>
      <c r="U28" s="116"/>
      <c r="V28" s="117"/>
      <c r="W28" s="623"/>
      <c r="X28" s="651"/>
      <c r="Y28" s="117">
        <f t="shared" si="0"/>
        <v>0</v>
      </c>
      <c r="Z28" s="623"/>
      <c r="AA28" s="623">
        <f t="shared" si="1"/>
        <v>0</v>
      </c>
    </row>
    <row r="29" spans="1:27" ht="12.75">
      <c r="A29" s="115" t="s">
        <v>342</v>
      </c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703"/>
      <c r="U29" s="116"/>
      <c r="V29" s="117"/>
      <c r="W29" s="623"/>
      <c r="X29" s="651"/>
      <c r="Y29" s="117">
        <f t="shared" si="0"/>
        <v>0</v>
      </c>
      <c r="Z29" s="623"/>
      <c r="AA29" s="623">
        <f t="shared" si="1"/>
        <v>0</v>
      </c>
    </row>
    <row r="30" spans="1:27" ht="12.75">
      <c r="A30" s="115" t="s">
        <v>345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703"/>
      <c r="U30" s="116"/>
      <c r="V30" s="117"/>
      <c r="W30" s="623"/>
      <c r="X30" s="651"/>
      <c r="Y30" s="117">
        <f t="shared" si="0"/>
        <v>0</v>
      </c>
      <c r="Z30" s="623"/>
      <c r="AA30" s="623">
        <f t="shared" si="1"/>
        <v>0</v>
      </c>
    </row>
    <row r="31" spans="1:27" ht="12.75">
      <c r="A31" s="704" t="s">
        <v>439</v>
      </c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703"/>
      <c r="U31" s="116"/>
      <c r="V31" s="117"/>
      <c r="W31" s="623"/>
      <c r="X31" s="651"/>
      <c r="Y31" s="117"/>
      <c r="Z31" s="623"/>
      <c r="AA31" s="623"/>
    </row>
    <row r="32" spans="1:27" ht="14.25">
      <c r="A32" s="143" t="s">
        <v>54</v>
      </c>
      <c r="B32" s="623">
        <f>B25</f>
        <v>1662941</v>
      </c>
      <c r="C32" s="949">
        <f>C25</f>
        <v>683493</v>
      </c>
      <c r="D32" s="623"/>
      <c r="E32" s="623">
        <f>E25</f>
        <v>4174678</v>
      </c>
      <c r="F32" s="623">
        <f>F9</f>
        <v>180478</v>
      </c>
      <c r="G32" s="623">
        <v>10576</v>
      </c>
      <c r="H32" s="623">
        <f>H25</f>
        <v>387320</v>
      </c>
      <c r="I32" s="623">
        <f>I25</f>
        <v>98338</v>
      </c>
      <c r="J32" s="623">
        <f>J25</f>
        <v>4570195</v>
      </c>
      <c r="K32" s="623">
        <f>K22</f>
        <v>159030</v>
      </c>
      <c r="L32" s="623">
        <f aca="true" t="shared" si="3" ref="L32:Q32">L25</f>
        <v>2990512</v>
      </c>
      <c r="M32" s="623">
        <f t="shared" si="3"/>
        <v>4630874</v>
      </c>
      <c r="N32" s="623">
        <f t="shared" si="3"/>
        <v>74790</v>
      </c>
      <c r="O32" s="623">
        <f t="shared" si="3"/>
        <v>86556.71</v>
      </c>
      <c r="P32" s="623">
        <f t="shared" si="3"/>
        <v>891538</v>
      </c>
      <c r="Q32" s="623">
        <f t="shared" si="3"/>
        <v>4264484</v>
      </c>
      <c r="R32" s="623">
        <f>R9</f>
        <v>582598</v>
      </c>
      <c r="S32" s="623">
        <f>S25</f>
        <v>501103</v>
      </c>
      <c r="T32" s="703"/>
      <c r="U32" s="116">
        <f>U25</f>
        <v>3644815</v>
      </c>
      <c r="V32" s="117">
        <f>V9</f>
        <v>431534</v>
      </c>
      <c r="W32" s="623">
        <f>W25</f>
        <v>104707</v>
      </c>
      <c r="X32" s="651">
        <f>X9</f>
        <v>4201429</v>
      </c>
      <c r="Y32" s="117">
        <f t="shared" si="0"/>
        <v>34331989.71</v>
      </c>
      <c r="Z32" s="623"/>
      <c r="AA32" s="623">
        <f t="shared" si="1"/>
        <v>34331989.71</v>
      </c>
    </row>
    <row r="33" spans="1:27" ht="14.25">
      <c r="A33" s="143" t="s">
        <v>346</v>
      </c>
      <c r="B33" s="623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703"/>
      <c r="U33" s="116"/>
      <c r="V33" s="117"/>
      <c r="W33" s="623"/>
      <c r="X33" s="651"/>
      <c r="Y33" s="117">
        <f t="shared" si="0"/>
        <v>0</v>
      </c>
      <c r="Z33" s="623"/>
      <c r="AA33" s="623">
        <f t="shared" si="1"/>
        <v>0</v>
      </c>
    </row>
    <row r="34" spans="1:27" ht="12.75">
      <c r="A34" s="115" t="s">
        <v>347</v>
      </c>
      <c r="B34" s="623">
        <v>50196</v>
      </c>
      <c r="C34" s="623"/>
      <c r="D34" s="623"/>
      <c r="E34" s="623">
        <v>335351</v>
      </c>
      <c r="F34" s="623"/>
      <c r="G34" s="623"/>
      <c r="H34" s="623">
        <v>3903</v>
      </c>
      <c r="I34" s="623"/>
      <c r="J34" s="623">
        <v>307245</v>
      </c>
      <c r="K34" s="623">
        <v>2013</v>
      </c>
      <c r="L34" s="623">
        <v>1162414</v>
      </c>
      <c r="M34" s="623">
        <v>78530</v>
      </c>
      <c r="N34" s="623"/>
      <c r="O34" s="623"/>
      <c r="P34" s="623">
        <v>59830</v>
      </c>
      <c r="Q34" s="623">
        <v>50753</v>
      </c>
      <c r="R34" s="623">
        <v>51329</v>
      </c>
      <c r="S34" s="623">
        <v>24261</v>
      </c>
      <c r="T34" s="703"/>
      <c r="U34" s="116">
        <v>206951</v>
      </c>
      <c r="V34" s="117">
        <v>10264</v>
      </c>
      <c r="W34" s="623">
        <v>4503</v>
      </c>
      <c r="X34" s="651"/>
      <c r="Y34" s="117">
        <f t="shared" si="0"/>
        <v>2347543</v>
      </c>
      <c r="Z34" s="623"/>
      <c r="AA34" s="623">
        <f t="shared" si="1"/>
        <v>2347543</v>
      </c>
    </row>
    <row r="35" spans="1:27" ht="12.75">
      <c r="A35" s="115" t="s">
        <v>442</v>
      </c>
      <c r="B35" s="947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  <c r="N35" s="947"/>
      <c r="O35" s="947"/>
      <c r="P35" s="947"/>
      <c r="Q35" s="947"/>
      <c r="R35" s="947"/>
      <c r="S35" s="947"/>
      <c r="T35" s="791"/>
      <c r="U35" s="945"/>
      <c r="V35" s="946"/>
      <c r="W35" s="947"/>
      <c r="X35" s="948"/>
      <c r="Y35" s="117"/>
      <c r="Z35" s="947"/>
      <c r="AA35" s="623"/>
    </row>
    <row r="36" spans="1:27" ht="12.75">
      <c r="A36" s="115" t="s">
        <v>441</v>
      </c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791"/>
      <c r="U36" s="945"/>
      <c r="V36" s="946"/>
      <c r="W36" s="947"/>
      <c r="X36" s="948"/>
      <c r="Y36" s="117"/>
      <c r="Z36" s="947"/>
      <c r="AA36" s="623"/>
    </row>
    <row r="37" spans="1:27" ht="12.75">
      <c r="A37" s="268" t="s">
        <v>443</v>
      </c>
      <c r="B37" s="947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7"/>
      <c r="O37" s="947"/>
      <c r="P37" s="947"/>
      <c r="Q37" s="947"/>
      <c r="R37" s="947"/>
      <c r="S37" s="947"/>
      <c r="T37" s="791"/>
      <c r="U37" s="945"/>
      <c r="V37" s="946"/>
      <c r="W37" s="947"/>
      <c r="X37" s="948"/>
      <c r="Y37" s="117"/>
      <c r="Z37" s="947"/>
      <c r="AA37" s="623"/>
    </row>
    <row r="38" spans="1:27" ht="12.75">
      <c r="A38" s="268" t="s">
        <v>348</v>
      </c>
      <c r="B38" s="947">
        <v>1612745</v>
      </c>
      <c r="C38" s="950">
        <f>C32</f>
        <v>683493</v>
      </c>
      <c r="D38" s="947"/>
      <c r="E38" s="947">
        <v>3839327</v>
      </c>
      <c r="F38" s="947">
        <f>F9</f>
        <v>180478</v>
      </c>
      <c r="G38" s="947">
        <v>10576</v>
      </c>
      <c r="H38" s="947">
        <v>383417</v>
      </c>
      <c r="I38" s="947">
        <f>I32</f>
        <v>98338</v>
      </c>
      <c r="J38" s="947">
        <v>4262949</v>
      </c>
      <c r="K38" s="947">
        <v>157017</v>
      </c>
      <c r="L38" s="947">
        <v>1828098</v>
      </c>
      <c r="M38" s="947">
        <v>4552344</v>
      </c>
      <c r="N38" s="947">
        <v>74790</v>
      </c>
      <c r="O38" s="947">
        <v>86556.71</v>
      </c>
      <c r="P38" s="947">
        <v>831708</v>
      </c>
      <c r="Q38" s="947">
        <v>4213731</v>
      </c>
      <c r="R38" s="947">
        <v>531269</v>
      </c>
      <c r="S38" s="947">
        <v>476842</v>
      </c>
      <c r="T38" s="791"/>
      <c r="U38" s="945">
        <v>3437864</v>
      </c>
      <c r="V38" s="946">
        <v>421270</v>
      </c>
      <c r="W38" s="947">
        <v>100204</v>
      </c>
      <c r="X38" s="948">
        <f>X9</f>
        <v>4201429</v>
      </c>
      <c r="Y38" s="117">
        <f t="shared" si="0"/>
        <v>31984445.71</v>
      </c>
      <c r="Z38" s="947"/>
      <c r="AA38" s="623">
        <f t="shared" si="1"/>
        <v>31984445.71</v>
      </c>
    </row>
    <row r="39" spans="1:27" ht="12.75">
      <c r="A39" s="115" t="s">
        <v>442</v>
      </c>
      <c r="B39" s="175"/>
      <c r="C39" s="126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268"/>
      <c r="U39" s="614"/>
      <c r="V39" s="615"/>
      <c r="W39" s="175"/>
      <c r="X39" s="613"/>
      <c r="Y39" s="117"/>
      <c r="Z39" s="175"/>
      <c r="AA39" s="623"/>
    </row>
    <row r="40" spans="1:27" ht="12.75">
      <c r="A40" s="115" t="s">
        <v>441</v>
      </c>
      <c r="B40" s="175"/>
      <c r="C40" s="126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268"/>
      <c r="U40" s="614"/>
      <c r="V40" s="615"/>
      <c r="W40" s="175"/>
      <c r="X40" s="613"/>
      <c r="Y40" s="117"/>
      <c r="Z40" s="175"/>
      <c r="AA40" s="623"/>
    </row>
    <row r="41" spans="1:27" ht="13.5" thickBot="1">
      <c r="A41" s="268" t="s">
        <v>444</v>
      </c>
      <c r="B41" s="175"/>
      <c r="C41" s="126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268"/>
      <c r="U41" s="614"/>
      <c r="V41" s="615"/>
      <c r="W41" s="175"/>
      <c r="X41" s="613"/>
      <c r="Y41" s="117"/>
      <c r="Z41" s="175"/>
      <c r="AA41" s="623"/>
    </row>
    <row r="42" spans="1:27" s="1566" customFormat="1" ht="15" thickBot="1">
      <c r="A42" s="850" t="s">
        <v>54</v>
      </c>
      <c r="B42" s="861">
        <f aca="true" t="shared" si="4" ref="B42:X42">B34+B38</f>
        <v>1662941</v>
      </c>
      <c r="C42" s="861">
        <f t="shared" si="4"/>
        <v>683493</v>
      </c>
      <c r="D42" s="861">
        <f t="shared" si="4"/>
        <v>0</v>
      </c>
      <c r="E42" s="861">
        <f t="shared" si="4"/>
        <v>4174678</v>
      </c>
      <c r="F42" s="861">
        <f t="shared" si="4"/>
        <v>180478</v>
      </c>
      <c r="G42" s="861">
        <f t="shared" si="4"/>
        <v>10576</v>
      </c>
      <c r="H42" s="861">
        <f t="shared" si="4"/>
        <v>387320</v>
      </c>
      <c r="I42" s="861">
        <f t="shared" si="4"/>
        <v>98338</v>
      </c>
      <c r="J42" s="861">
        <f t="shared" si="4"/>
        <v>4570194</v>
      </c>
      <c r="K42" s="861">
        <f t="shared" si="4"/>
        <v>159030</v>
      </c>
      <c r="L42" s="861">
        <f t="shared" si="4"/>
        <v>2990512</v>
      </c>
      <c r="M42" s="861">
        <f t="shared" si="4"/>
        <v>4630874</v>
      </c>
      <c r="N42" s="861">
        <f t="shared" si="4"/>
        <v>74790</v>
      </c>
      <c r="O42" s="861">
        <f t="shared" si="4"/>
        <v>86556.71</v>
      </c>
      <c r="P42" s="861">
        <f t="shared" si="4"/>
        <v>891538</v>
      </c>
      <c r="Q42" s="861">
        <f t="shared" si="4"/>
        <v>4264484</v>
      </c>
      <c r="R42" s="861">
        <f t="shared" si="4"/>
        <v>582598</v>
      </c>
      <c r="S42" s="861">
        <f t="shared" si="4"/>
        <v>501103</v>
      </c>
      <c r="T42" s="1560">
        <f t="shared" si="4"/>
        <v>0</v>
      </c>
      <c r="U42" s="1561">
        <f t="shared" si="4"/>
        <v>3644815</v>
      </c>
      <c r="V42" s="1562">
        <f t="shared" si="4"/>
        <v>431534</v>
      </c>
      <c r="W42" s="861">
        <f t="shared" si="4"/>
        <v>104707</v>
      </c>
      <c r="X42" s="1563">
        <f t="shared" si="4"/>
        <v>4201429</v>
      </c>
      <c r="Y42" s="1564">
        <f t="shared" si="0"/>
        <v>34331988.71</v>
      </c>
      <c r="Z42" s="861"/>
      <c r="AA42" s="1565">
        <f t="shared" si="1"/>
        <v>34331988.71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25"/>
  <sheetViews>
    <sheetView zoomScalePageLayoutView="0" workbookViewId="0" topLeftCell="A1">
      <pane xSplit="1" topLeftCell="AX1" activePane="topRight" state="frozen"/>
      <selection pane="topLeft" activeCell="A1" sqref="A1"/>
      <selection pane="topRight" activeCell="A4" sqref="A4"/>
    </sheetView>
  </sheetViews>
  <sheetFormatPr defaultColWidth="9.140625" defaultRowHeight="15"/>
  <cols>
    <col min="1" max="1" width="49.140625" style="234" bestFit="1" customWidth="1"/>
    <col min="2" max="2" width="11.28125" style="147" bestFit="1" customWidth="1"/>
    <col min="3" max="3" width="11.140625" style="147" bestFit="1" customWidth="1"/>
    <col min="4" max="4" width="9.00390625" style="147" bestFit="1" customWidth="1"/>
    <col min="5" max="5" width="11.28125" style="147" customWidth="1"/>
    <col min="6" max="6" width="11.140625" style="147" bestFit="1" customWidth="1"/>
    <col min="7" max="7" width="9.00390625" style="147" bestFit="1" customWidth="1"/>
    <col min="8" max="9" width="9.7109375" style="147" bestFit="1" customWidth="1"/>
    <col min="10" max="10" width="8.57421875" style="147" bestFit="1" customWidth="1"/>
    <col min="11" max="11" width="11.28125" style="147" bestFit="1" customWidth="1"/>
    <col min="12" max="12" width="10.57421875" style="147" bestFit="1" customWidth="1"/>
    <col min="13" max="13" width="10.28125" style="306" bestFit="1" customWidth="1"/>
    <col min="14" max="15" width="9.7109375" style="147" bestFit="1" customWidth="1"/>
    <col min="16" max="16" width="9.00390625" style="147" bestFit="1" customWidth="1"/>
    <col min="17" max="17" width="11.28125" style="147" bestFit="1" customWidth="1"/>
    <col min="18" max="18" width="11.140625" style="147" bestFit="1" customWidth="1"/>
    <col min="19" max="19" width="9.00390625" style="147" bestFit="1" customWidth="1"/>
    <col min="20" max="20" width="9.7109375" style="147" bestFit="1" customWidth="1"/>
    <col min="21" max="22" width="8.7109375" style="147" bestFit="1" customWidth="1"/>
    <col min="23" max="23" width="10.00390625" style="147" bestFit="1" customWidth="1"/>
    <col min="24" max="24" width="12.140625" style="147" bestFit="1" customWidth="1"/>
    <col min="25" max="26" width="10.00390625" style="147" bestFit="1" customWidth="1"/>
    <col min="27" max="27" width="11.140625" style="147" bestFit="1" customWidth="1"/>
    <col min="28" max="28" width="8.7109375" style="147" bestFit="1" customWidth="1"/>
    <col min="29" max="29" width="10.00390625" style="147" bestFit="1" customWidth="1"/>
    <col min="30" max="30" width="9.7109375" style="147" customWidth="1"/>
    <col min="31" max="31" width="8.7109375" style="147" bestFit="1" customWidth="1"/>
    <col min="32" max="32" width="11.28125" style="147" bestFit="1" customWidth="1"/>
    <col min="33" max="33" width="10.57421875" style="147" bestFit="1" customWidth="1"/>
    <col min="34" max="34" width="10.28125" style="147" bestFit="1" customWidth="1"/>
    <col min="35" max="35" width="11.28125" style="147" bestFit="1" customWidth="1"/>
    <col min="36" max="36" width="11.140625" style="147" bestFit="1" customWidth="1"/>
    <col min="37" max="37" width="10.28125" style="147" bestFit="1" customWidth="1"/>
    <col min="38" max="38" width="10.00390625" style="147" bestFit="1" customWidth="1"/>
    <col min="39" max="39" width="11.140625" style="147" bestFit="1" customWidth="1"/>
    <col min="40" max="40" width="10.00390625" style="147" bestFit="1" customWidth="1"/>
    <col min="41" max="41" width="9.7109375" style="147" bestFit="1" customWidth="1"/>
    <col min="42" max="42" width="11.140625" style="147" bestFit="1" customWidth="1"/>
    <col min="43" max="43" width="9.00390625" style="147" bestFit="1" customWidth="1"/>
    <col min="44" max="44" width="10.00390625" style="147" bestFit="1" customWidth="1"/>
    <col min="45" max="45" width="10.28125" style="147" bestFit="1" customWidth="1"/>
    <col min="46" max="46" width="9.00390625" style="147" bestFit="1" customWidth="1"/>
    <col min="47" max="47" width="10.28125" style="147" bestFit="1" customWidth="1"/>
    <col min="48" max="48" width="10.00390625" style="147" bestFit="1" customWidth="1"/>
    <col min="49" max="49" width="9.7109375" style="147" bestFit="1" customWidth="1"/>
    <col min="50" max="50" width="10.28125" style="147" bestFit="1" customWidth="1"/>
    <col min="51" max="51" width="9.7109375" style="147" bestFit="1" customWidth="1"/>
    <col min="52" max="52" width="9.421875" style="147" bestFit="1" customWidth="1"/>
    <col min="53" max="54" width="10.00390625" style="147" bestFit="1" customWidth="1"/>
    <col min="55" max="55" width="8.7109375" style="147" bestFit="1" customWidth="1"/>
    <col min="56" max="56" width="9.7109375" style="147" bestFit="1" customWidth="1"/>
    <col min="57" max="57" width="11.140625" style="147" bestFit="1" customWidth="1"/>
    <col min="58" max="58" width="8.57421875" style="147" bestFit="1" customWidth="1"/>
    <col min="59" max="59" width="11.28125" style="147" bestFit="1" customWidth="1"/>
    <col min="60" max="60" width="11.140625" style="147" bestFit="1" customWidth="1"/>
    <col min="61" max="61" width="9.421875" style="147" bestFit="1" customWidth="1"/>
    <col min="62" max="63" width="9.7109375" style="147" bestFit="1" customWidth="1"/>
    <col min="64" max="64" width="9.00390625" style="147" bestFit="1" customWidth="1"/>
    <col min="65" max="66" width="10.00390625" style="147" bestFit="1" customWidth="1"/>
    <col min="67" max="67" width="9.00390625" style="147" bestFit="1" customWidth="1"/>
    <col min="68" max="68" width="10.28125" style="147" bestFit="1" customWidth="1"/>
    <col min="69" max="69" width="10.00390625" style="147" bestFit="1" customWidth="1"/>
    <col min="70" max="70" width="9.7109375" style="147" bestFit="1" customWidth="1"/>
    <col min="71" max="71" width="11.28125" style="147" bestFit="1" customWidth="1"/>
    <col min="72" max="72" width="11.140625" style="147" bestFit="1" customWidth="1"/>
    <col min="73" max="73" width="10.140625" style="147" bestFit="1" customWidth="1"/>
    <col min="74" max="74" width="9.7109375" style="147" bestFit="1" customWidth="1"/>
    <col min="75" max="75" width="11.140625" style="147" bestFit="1" customWidth="1"/>
    <col min="76" max="76" width="8.57421875" style="147" bestFit="1" customWidth="1"/>
    <col min="77" max="77" width="11.28125" style="147" bestFit="1" customWidth="1"/>
    <col min="78" max="78" width="12.7109375" style="147" bestFit="1" customWidth="1"/>
    <col min="79" max="79" width="10.140625" style="147" bestFit="1" customWidth="1"/>
    <col min="80" max="16384" width="9.140625" style="234" customWidth="1"/>
  </cols>
  <sheetData>
    <row r="1" spans="1:78" ht="17.25">
      <c r="A1" s="1747" t="s">
        <v>603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  <c r="M1" s="1747"/>
      <c r="N1" s="1747"/>
      <c r="O1" s="1747"/>
      <c r="P1" s="1747"/>
      <c r="Q1" s="1747"/>
      <c r="R1" s="1747"/>
      <c r="S1" s="1747"/>
      <c r="T1" s="1747"/>
      <c r="U1" s="1747"/>
      <c r="V1" s="1747"/>
      <c r="W1" s="1747"/>
      <c r="X1" s="1747"/>
      <c r="Y1" s="1747"/>
      <c r="Z1" s="1747"/>
      <c r="AA1" s="1747"/>
      <c r="AB1" s="1747"/>
      <c r="AC1" s="1747"/>
      <c r="AD1" s="1747"/>
      <c r="AE1" s="1747"/>
      <c r="AF1" s="1747"/>
      <c r="AG1" s="1747"/>
      <c r="AH1" s="1747"/>
      <c r="AI1" s="1747"/>
      <c r="AJ1" s="1747"/>
      <c r="AK1" s="1747"/>
      <c r="AL1" s="1747"/>
      <c r="AM1" s="1747"/>
      <c r="AN1" s="1747"/>
      <c r="AO1" s="1747"/>
      <c r="AP1" s="1747"/>
      <c r="AQ1" s="1747"/>
      <c r="AR1" s="1747"/>
      <c r="AS1" s="1747"/>
      <c r="AT1" s="1747"/>
      <c r="AU1" s="1747"/>
      <c r="AV1" s="1747"/>
      <c r="AW1" s="1747"/>
      <c r="AX1" s="1747"/>
      <c r="AY1" s="1747"/>
      <c r="AZ1" s="1747"/>
      <c r="BA1" s="1747"/>
      <c r="BB1" s="1747"/>
      <c r="BC1" s="1747"/>
      <c r="BD1" s="1747"/>
      <c r="BE1" s="1747"/>
      <c r="BF1" s="1747"/>
      <c r="BG1" s="1747"/>
      <c r="BH1" s="1747"/>
      <c r="BI1" s="1747"/>
      <c r="BJ1" s="1747"/>
      <c r="BK1" s="1747"/>
      <c r="BL1" s="1747"/>
      <c r="BM1" s="1747"/>
      <c r="BN1" s="1747"/>
      <c r="BO1" s="1747"/>
      <c r="BP1" s="1747"/>
      <c r="BQ1" s="1747"/>
      <c r="BR1" s="1747"/>
      <c r="BS1" s="1747"/>
      <c r="BT1" s="1747"/>
      <c r="BU1" s="1747"/>
      <c r="BV1" s="1747"/>
      <c r="BW1" s="1747"/>
      <c r="BX1" s="1747"/>
      <c r="BY1" s="1747"/>
      <c r="BZ1" s="1747"/>
    </row>
    <row r="2" spans="1:78" ht="17.25" thickBot="1">
      <c r="A2" s="1748" t="s">
        <v>256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1748"/>
      <c r="AI2" s="1748"/>
      <c r="AJ2" s="1748"/>
      <c r="AK2" s="1748"/>
      <c r="AL2" s="1748"/>
      <c r="AM2" s="1748"/>
      <c r="AN2" s="1748"/>
      <c r="AO2" s="1748"/>
      <c r="AP2" s="1748"/>
      <c r="AQ2" s="1748"/>
      <c r="AR2" s="1748"/>
      <c r="AS2" s="1748"/>
      <c r="AT2" s="1748"/>
      <c r="AU2" s="1748"/>
      <c r="AV2" s="1748"/>
      <c r="AW2" s="1748"/>
      <c r="AX2" s="1748"/>
      <c r="AY2" s="1748"/>
      <c r="AZ2" s="1748"/>
      <c r="BA2" s="1748"/>
      <c r="BB2" s="1748"/>
      <c r="BC2" s="1748"/>
      <c r="BD2" s="1748"/>
      <c r="BE2" s="1748"/>
      <c r="BF2" s="1748"/>
      <c r="BG2" s="1748"/>
      <c r="BH2" s="1748"/>
      <c r="BI2" s="1748"/>
      <c r="BJ2" s="1748"/>
      <c r="BK2" s="1748"/>
      <c r="BL2" s="1748"/>
      <c r="BM2" s="1748"/>
      <c r="BN2" s="1748"/>
      <c r="BO2" s="1748"/>
      <c r="BP2" s="1748"/>
      <c r="BQ2" s="1748"/>
      <c r="BR2" s="1748"/>
      <c r="BS2" s="1748"/>
      <c r="BT2" s="1748"/>
      <c r="BU2" s="1748"/>
      <c r="BV2" s="1748"/>
      <c r="BW2" s="1748"/>
      <c r="BX2" s="1748"/>
      <c r="BY2" s="1748"/>
      <c r="BZ2" s="1748"/>
    </row>
    <row r="3" spans="1:79" s="1281" customFormat="1" ht="31.5" customHeight="1">
      <c r="A3" s="1642"/>
      <c r="B3" s="1749" t="s">
        <v>184</v>
      </c>
      <c r="C3" s="1750"/>
      <c r="D3" s="1751"/>
      <c r="E3" s="1752" t="s">
        <v>185</v>
      </c>
      <c r="F3" s="1750"/>
      <c r="G3" s="1751"/>
      <c r="H3" s="1752" t="s">
        <v>186</v>
      </c>
      <c r="I3" s="1750"/>
      <c r="J3" s="1751"/>
      <c r="K3" s="1752" t="s">
        <v>187</v>
      </c>
      <c r="L3" s="1750"/>
      <c r="M3" s="1751"/>
      <c r="N3" s="1752" t="s">
        <v>188</v>
      </c>
      <c r="O3" s="1750"/>
      <c r="P3" s="1751"/>
      <c r="Q3" s="1752" t="s">
        <v>189</v>
      </c>
      <c r="R3" s="1750"/>
      <c r="S3" s="1751"/>
      <c r="T3" s="1749" t="s">
        <v>527</v>
      </c>
      <c r="U3" s="1750"/>
      <c r="V3" s="1751"/>
      <c r="W3" s="1752" t="s">
        <v>190</v>
      </c>
      <c r="X3" s="1750"/>
      <c r="Y3" s="1751"/>
      <c r="Z3" s="1752" t="s">
        <v>191</v>
      </c>
      <c r="AA3" s="1750"/>
      <c r="AB3" s="1751"/>
      <c r="AC3" s="1752" t="s">
        <v>192</v>
      </c>
      <c r="AD3" s="1750"/>
      <c r="AE3" s="1751"/>
      <c r="AF3" s="1752" t="s">
        <v>193</v>
      </c>
      <c r="AG3" s="1750"/>
      <c r="AH3" s="1751"/>
      <c r="AI3" s="1752" t="s">
        <v>194</v>
      </c>
      <c r="AJ3" s="1750"/>
      <c r="AK3" s="1751"/>
      <c r="AL3" s="1752" t="s">
        <v>195</v>
      </c>
      <c r="AM3" s="1750"/>
      <c r="AN3" s="1751"/>
      <c r="AO3" s="1752" t="s">
        <v>196</v>
      </c>
      <c r="AP3" s="1750"/>
      <c r="AQ3" s="1751"/>
      <c r="AR3" s="1757" t="s">
        <v>197</v>
      </c>
      <c r="AS3" s="1758"/>
      <c r="AT3" s="1759"/>
      <c r="AU3" s="1752" t="s">
        <v>198</v>
      </c>
      <c r="AV3" s="1750"/>
      <c r="AW3" s="1751"/>
      <c r="AX3" s="1752" t="s">
        <v>199</v>
      </c>
      <c r="AY3" s="1750"/>
      <c r="AZ3" s="1751"/>
      <c r="BA3" s="1752" t="s">
        <v>200</v>
      </c>
      <c r="BB3" s="1750"/>
      <c r="BC3" s="1751"/>
      <c r="BD3" s="1757" t="s">
        <v>201</v>
      </c>
      <c r="BE3" s="1758"/>
      <c r="BF3" s="1759"/>
      <c r="BG3" s="1752" t="s">
        <v>202</v>
      </c>
      <c r="BH3" s="1750"/>
      <c r="BI3" s="1751"/>
      <c r="BJ3" s="1752" t="s">
        <v>203</v>
      </c>
      <c r="BK3" s="1750"/>
      <c r="BL3" s="1751"/>
      <c r="BM3" s="1752" t="s">
        <v>204</v>
      </c>
      <c r="BN3" s="1750"/>
      <c r="BO3" s="1751"/>
      <c r="BP3" s="1752" t="s">
        <v>205</v>
      </c>
      <c r="BQ3" s="1750"/>
      <c r="BR3" s="1753"/>
      <c r="BS3" s="1754" t="s">
        <v>1</v>
      </c>
      <c r="BT3" s="1755"/>
      <c r="BU3" s="1756"/>
      <c r="BV3" s="1757" t="s">
        <v>206</v>
      </c>
      <c r="BW3" s="1758"/>
      <c r="BX3" s="1759"/>
      <c r="BY3" s="1760" t="s">
        <v>2</v>
      </c>
      <c r="BZ3" s="1758"/>
      <c r="CA3" s="1759"/>
    </row>
    <row r="4" spans="1:79" s="860" customFormat="1" ht="72" thickBot="1">
      <c r="A4" s="859" t="s">
        <v>0</v>
      </c>
      <c r="B4" s="951" t="s">
        <v>257</v>
      </c>
      <c r="C4" s="952" t="s">
        <v>258</v>
      </c>
      <c r="D4" s="953" t="s">
        <v>259</v>
      </c>
      <c r="E4" s="954" t="s">
        <v>257</v>
      </c>
      <c r="F4" s="952" t="s">
        <v>258</v>
      </c>
      <c r="G4" s="953" t="s">
        <v>259</v>
      </c>
      <c r="H4" s="954" t="s">
        <v>257</v>
      </c>
      <c r="I4" s="952" t="s">
        <v>258</v>
      </c>
      <c r="J4" s="953" t="s">
        <v>259</v>
      </c>
      <c r="K4" s="954" t="s">
        <v>257</v>
      </c>
      <c r="L4" s="952" t="s">
        <v>258</v>
      </c>
      <c r="M4" s="955" t="s">
        <v>259</v>
      </c>
      <c r="N4" s="954" t="s">
        <v>257</v>
      </c>
      <c r="O4" s="952" t="s">
        <v>258</v>
      </c>
      <c r="P4" s="953" t="s">
        <v>259</v>
      </c>
      <c r="Q4" s="954" t="s">
        <v>257</v>
      </c>
      <c r="R4" s="952" t="s">
        <v>258</v>
      </c>
      <c r="S4" s="953" t="s">
        <v>259</v>
      </c>
      <c r="T4" s="951" t="s">
        <v>257</v>
      </c>
      <c r="U4" s="952" t="s">
        <v>258</v>
      </c>
      <c r="V4" s="953" t="s">
        <v>259</v>
      </c>
      <c r="W4" s="954" t="s">
        <v>257</v>
      </c>
      <c r="X4" s="952" t="s">
        <v>258</v>
      </c>
      <c r="Y4" s="953" t="s">
        <v>259</v>
      </c>
      <c r="Z4" s="954" t="s">
        <v>257</v>
      </c>
      <c r="AA4" s="952" t="s">
        <v>258</v>
      </c>
      <c r="AB4" s="953" t="s">
        <v>259</v>
      </c>
      <c r="AC4" s="954" t="s">
        <v>257</v>
      </c>
      <c r="AD4" s="952" t="s">
        <v>258</v>
      </c>
      <c r="AE4" s="953" t="s">
        <v>259</v>
      </c>
      <c r="AF4" s="954" t="s">
        <v>257</v>
      </c>
      <c r="AG4" s="952" t="s">
        <v>258</v>
      </c>
      <c r="AH4" s="953" t="s">
        <v>259</v>
      </c>
      <c r="AI4" s="954" t="s">
        <v>257</v>
      </c>
      <c r="AJ4" s="952" t="s">
        <v>258</v>
      </c>
      <c r="AK4" s="953" t="s">
        <v>259</v>
      </c>
      <c r="AL4" s="954" t="s">
        <v>257</v>
      </c>
      <c r="AM4" s="952" t="s">
        <v>258</v>
      </c>
      <c r="AN4" s="953" t="s">
        <v>259</v>
      </c>
      <c r="AO4" s="954" t="s">
        <v>257</v>
      </c>
      <c r="AP4" s="952" t="s">
        <v>258</v>
      </c>
      <c r="AQ4" s="953" t="s">
        <v>259</v>
      </c>
      <c r="AR4" s="954" t="s">
        <v>257</v>
      </c>
      <c r="AS4" s="952" t="s">
        <v>258</v>
      </c>
      <c r="AT4" s="953" t="s">
        <v>259</v>
      </c>
      <c r="AU4" s="954" t="s">
        <v>257</v>
      </c>
      <c r="AV4" s="952" t="s">
        <v>258</v>
      </c>
      <c r="AW4" s="953" t="s">
        <v>259</v>
      </c>
      <c r="AX4" s="954" t="s">
        <v>257</v>
      </c>
      <c r="AY4" s="952" t="s">
        <v>258</v>
      </c>
      <c r="AZ4" s="953" t="s">
        <v>259</v>
      </c>
      <c r="BA4" s="954" t="s">
        <v>257</v>
      </c>
      <c r="BB4" s="952" t="s">
        <v>258</v>
      </c>
      <c r="BC4" s="953" t="s">
        <v>259</v>
      </c>
      <c r="BD4" s="954" t="s">
        <v>257</v>
      </c>
      <c r="BE4" s="952" t="s">
        <v>258</v>
      </c>
      <c r="BF4" s="953" t="s">
        <v>259</v>
      </c>
      <c r="BG4" s="954" t="s">
        <v>257</v>
      </c>
      <c r="BH4" s="952" t="s">
        <v>258</v>
      </c>
      <c r="BI4" s="953" t="s">
        <v>259</v>
      </c>
      <c r="BJ4" s="954" t="s">
        <v>257</v>
      </c>
      <c r="BK4" s="952" t="s">
        <v>258</v>
      </c>
      <c r="BL4" s="953" t="s">
        <v>259</v>
      </c>
      <c r="BM4" s="954" t="s">
        <v>257</v>
      </c>
      <c r="BN4" s="952" t="s">
        <v>258</v>
      </c>
      <c r="BO4" s="953" t="s">
        <v>259</v>
      </c>
      <c r="BP4" s="954" t="s">
        <v>257</v>
      </c>
      <c r="BQ4" s="952" t="s">
        <v>258</v>
      </c>
      <c r="BR4" s="1116" t="s">
        <v>259</v>
      </c>
      <c r="BS4" s="951" t="s">
        <v>257</v>
      </c>
      <c r="BT4" s="952" t="s">
        <v>258</v>
      </c>
      <c r="BU4" s="953" t="s">
        <v>259</v>
      </c>
      <c r="BV4" s="954" t="s">
        <v>257</v>
      </c>
      <c r="BW4" s="952" t="s">
        <v>258</v>
      </c>
      <c r="BX4" s="953" t="s">
        <v>259</v>
      </c>
      <c r="BY4" s="951" t="s">
        <v>257</v>
      </c>
      <c r="BZ4" s="952" t="s">
        <v>258</v>
      </c>
      <c r="CA4" s="953" t="s">
        <v>259</v>
      </c>
    </row>
    <row r="5" spans="1:79" ht="16.5">
      <c r="A5" s="496" t="s">
        <v>260</v>
      </c>
      <c r="B5" s="956"/>
      <c r="C5" s="593"/>
      <c r="D5" s="594"/>
      <c r="E5" s="957"/>
      <c r="F5" s="958"/>
      <c r="G5" s="959"/>
      <c r="H5" s="957"/>
      <c r="I5" s="958"/>
      <c r="J5" s="959"/>
      <c r="K5" s="957"/>
      <c r="L5" s="958"/>
      <c r="M5" s="960"/>
      <c r="N5" s="957"/>
      <c r="O5" s="958"/>
      <c r="P5" s="959"/>
      <c r="Q5" s="957"/>
      <c r="R5" s="958"/>
      <c r="S5" s="959"/>
      <c r="T5" s="961"/>
      <c r="U5" s="958"/>
      <c r="V5" s="959"/>
      <c r="W5" s="957"/>
      <c r="X5" s="958"/>
      <c r="Y5" s="959"/>
      <c r="Z5" s="957"/>
      <c r="AA5" s="958"/>
      <c r="AB5" s="959"/>
      <c r="AC5" s="957"/>
      <c r="AD5" s="958"/>
      <c r="AE5" s="959"/>
      <c r="AF5" s="957"/>
      <c r="AG5" s="958"/>
      <c r="AH5" s="959"/>
      <c r="AI5" s="957"/>
      <c r="AJ5" s="958"/>
      <c r="AK5" s="959"/>
      <c r="AL5" s="962"/>
      <c r="AM5" s="963"/>
      <c r="AN5" s="964"/>
      <c r="AO5" s="957"/>
      <c r="AP5" s="958"/>
      <c r="AQ5" s="959"/>
      <c r="AR5" s="957"/>
      <c r="AS5" s="958"/>
      <c r="AT5" s="959"/>
      <c r="AU5" s="957"/>
      <c r="AV5" s="958"/>
      <c r="AW5" s="959"/>
      <c r="AX5" s="957"/>
      <c r="AY5" s="958"/>
      <c r="AZ5" s="959"/>
      <c r="BA5" s="957"/>
      <c r="BB5" s="958"/>
      <c r="BC5" s="959"/>
      <c r="BD5" s="965"/>
      <c r="BE5" s="958"/>
      <c r="BF5" s="959"/>
      <c r="BG5" s="966"/>
      <c r="BH5" s="236"/>
      <c r="BI5" s="231"/>
      <c r="BJ5" s="967"/>
      <c r="BK5" s="968"/>
      <c r="BL5" s="960"/>
      <c r="BM5" s="969"/>
      <c r="BN5" s="970"/>
      <c r="BO5" s="971"/>
      <c r="BP5" s="957"/>
      <c r="BQ5" s="958"/>
      <c r="BR5" s="1090"/>
      <c r="BS5" s="961"/>
      <c r="BT5" s="958"/>
      <c r="BU5" s="959"/>
      <c r="BV5" s="969"/>
      <c r="BW5" s="970"/>
      <c r="BX5" s="971"/>
      <c r="BY5" s="961"/>
      <c r="BZ5" s="958"/>
      <c r="CA5" s="975"/>
    </row>
    <row r="6" spans="1:79" ht="16.5">
      <c r="A6" s="493" t="s">
        <v>261</v>
      </c>
      <c r="B6" s="194">
        <v>2311754</v>
      </c>
      <c r="C6" s="195">
        <v>1747241</v>
      </c>
      <c r="D6" s="196">
        <v>564513</v>
      </c>
      <c r="E6" s="197">
        <v>1650626</v>
      </c>
      <c r="F6" s="198">
        <v>1039071</v>
      </c>
      <c r="G6" s="199">
        <v>611555</v>
      </c>
      <c r="H6" s="197"/>
      <c r="I6" s="198"/>
      <c r="J6" s="199"/>
      <c r="K6" s="197">
        <v>383982</v>
      </c>
      <c r="L6" s="198">
        <v>299695</v>
      </c>
      <c r="M6" s="203">
        <v>84287</v>
      </c>
      <c r="N6" s="197">
        <v>389625</v>
      </c>
      <c r="O6" s="198">
        <v>345794</v>
      </c>
      <c r="P6" s="199">
        <v>43831</v>
      </c>
      <c r="Q6" s="197">
        <v>993370</v>
      </c>
      <c r="R6" s="199">
        <v>891226</v>
      </c>
      <c r="S6" s="199">
        <v>102144</v>
      </c>
      <c r="T6" s="207">
        <v>383106</v>
      </c>
      <c r="U6" s="198">
        <v>486797</v>
      </c>
      <c r="V6" s="199">
        <v>162225</v>
      </c>
      <c r="W6" s="197">
        <v>1016836</v>
      </c>
      <c r="X6" s="198">
        <v>460632</v>
      </c>
      <c r="Y6" s="199">
        <v>556204</v>
      </c>
      <c r="Z6" s="197">
        <v>519658</v>
      </c>
      <c r="AA6" s="198">
        <v>430708</v>
      </c>
      <c r="AB6" s="199">
        <v>88951</v>
      </c>
      <c r="AC6" s="197">
        <v>779074</v>
      </c>
      <c r="AD6" s="198">
        <v>457343</v>
      </c>
      <c r="AE6" s="199">
        <v>321731</v>
      </c>
      <c r="AF6" s="197">
        <v>2125623</v>
      </c>
      <c r="AG6" s="198">
        <v>1777547</v>
      </c>
      <c r="AH6" s="199">
        <v>348076</v>
      </c>
      <c r="AI6" s="197">
        <v>1356217</v>
      </c>
      <c r="AJ6" s="198">
        <v>1194734</v>
      </c>
      <c r="AK6" s="199">
        <v>161483</v>
      </c>
      <c r="AL6" s="976">
        <v>498074</v>
      </c>
      <c r="AM6" s="200">
        <v>443579</v>
      </c>
      <c r="AN6" s="977">
        <v>54495</v>
      </c>
      <c r="AO6" s="197">
        <v>520976.46</v>
      </c>
      <c r="AP6" s="198">
        <v>424475.8</v>
      </c>
      <c r="AQ6" s="199">
        <v>96500.66</v>
      </c>
      <c r="AR6" s="197">
        <v>1866083</v>
      </c>
      <c r="AS6" s="198">
        <v>1633336</v>
      </c>
      <c r="AT6" s="199">
        <v>232747</v>
      </c>
      <c r="AU6" s="197">
        <v>4663449</v>
      </c>
      <c r="AV6" s="198">
        <v>3488725</v>
      </c>
      <c r="AW6" s="199">
        <v>1174723</v>
      </c>
      <c r="AX6" s="197">
        <v>1553542</v>
      </c>
      <c r="AY6" s="198">
        <v>1109271</v>
      </c>
      <c r="AZ6" s="199">
        <v>444271</v>
      </c>
      <c r="BA6" s="197">
        <v>429632</v>
      </c>
      <c r="BB6" s="198">
        <v>509061</v>
      </c>
      <c r="BC6" s="199">
        <v>185655</v>
      </c>
      <c r="BD6" s="201"/>
      <c r="BE6" s="198"/>
      <c r="BF6" s="220"/>
      <c r="BG6" s="19">
        <v>2345416</v>
      </c>
      <c r="BH6" s="20">
        <v>1969669</v>
      </c>
      <c r="BI6" s="21">
        <v>375747</v>
      </c>
      <c r="BJ6" s="978">
        <v>451752</v>
      </c>
      <c r="BK6" s="205">
        <v>284593</v>
      </c>
      <c r="BL6" s="206">
        <v>167159</v>
      </c>
      <c r="BM6" s="978">
        <v>595415</v>
      </c>
      <c r="BN6" s="205">
        <v>532375</v>
      </c>
      <c r="BO6" s="206">
        <v>63040</v>
      </c>
      <c r="BP6" s="197">
        <v>1726780</v>
      </c>
      <c r="BQ6" s="198">
        <v>1285033</v>
      </c>
      <c r="BR6" s="577">
        <v>441747</v>
      </c>
      <c r="BS6" s="207">
        <f aca="true" t="shared" si="0" ref="BS6:BS20">B6+E6+H6+K6+N6+Q6+T6+W6+Z6+AC6+AF6+AI6+AL6+AO6+AR6+AU6+AX6+BA6+BD6+BG6+BJ6+BM6+BP6</f>
        <v>26560990.46</v>
      </c>
      <c r="BT6" s="198">
        <f aca="true" t="shared" si="1" ref="BT6:BU20">C6+F6+I6+L6+O6+R6+U6+X6+AA6+AD6+AG6+AJ6+AM6+AP6+AS6+AV6+AY6+BB6+BE6+BH6+BK6+BN6+BQ6</f>
        <v>20810905.8</v>
      </c>
      <c r="BU6" s="199">
        <f t="shared" si="1"/>
        <v>6281084.66</v>
      </c>
      <c r="BV6" s="978"/>
      <c r="BW6" s="205"/>
      <c r="BX6" s="206"/>
      <c r="BY6" s="207">
        <f aca="true" t="shared" si="2" ref="BY6:BY20">BS6+BV6</f>
        <v>26560990.46</v>
      </c>
      <c r="BZ6" s="198">
        <f aca="true" t="shared" si="3" ref="BZ6:CA20">BT6+BW6</f>
        <v>20810905.8</v>
      </c>
      <c r="CA6" s="199">
        <f t="shared" si="3"/>
        <v>6281084.66</v>
      </c>
    </row>
    <row r="7" spans="1:79" ht="16.5">
      <c r="A7" s="493" t="s">
        <v>262</v>
      </c>
      <c r="B7" s="194"/>
      <c r="C7" s="195"/>
      <c r="D7" s="196"/>
      <c r="E7" s="197"/>
      <c r="F7" s="198"/>
      <c r="G7" s="199"/>
      <c r="H7" s="197"/>
      <c r="I7" s="198"/>
      <c r="J7" s="199"/>
      <c r="K7" s="197">
        <v>711985</v>
      </c>
      <c r="L7" s="198"/>
      <c r="M7" s="203">
        <v>711985</v>
      </c>
      <c r="N7" s="197"/>
      <c r="O7" s="198"/>
      <c r="P7" s="199"/>
      <c r="Q7" s="197"/>
      <c r="R7" s="199"/>
      <c r="S7" s="199"/>
      <c r="T7" s="207"/>
      <c r="U7" s="198"/>
      <c r="V7" s="199"/>
      <c r="W7" s="197"/>
      <c r="X7" s="198"/>
      <c r="Y7" s="199"/>
      <c r="Z7" s="197"/>
      <c r="AA7" s="198"/>
      <c r="AB7" s="199"/>
      <c r="AC7" s="197"/>
      <c r="AD7" s="198"/>
      <c r="AE7" s="199"/>
      <c r="AF7" s="197"/>
      <c r="AG7" s="198"/>
      <c r="AH7" s="199"/>
      <c r="AI7" s="197">
        <v>903280</v>
      </c>
      <c r="AJ7" s="198"/>
      <c r="AK7" s="199">
        <v>903280</v>
      </c>
      <c r="AL7" s="976"/>
      <c r="AM7" s="200"/>
      <c r="AN7" s="977"/>
      <c r="AO7" s="197"/>
      <c r="AP7" s="198"/>
      <c r="AQ7" s="199"/>
      <c r="AR7" s="656"/>
      <c r="AS7" s="657"/>
      <c r="AT7" s="199"/>
      <c r="AU7" s="197"/>
      <c r="AV7" s="198"/>
      <c r="AW7" s="199"/>
      <c r="AX7" s="197"/>
      <c r="AY7" s="198"/>
      <c r="AZ7" s="199"/>
      <c r="BA7" s="197"/>
      <c r="BB7" s="198"/>
      <c r="BC7" s="199"/>
      <c r="BD7" s="201"/>
      <c r="BE7" s="198"/>
      <c r="BF7" s="220"/>
      <c r="BG7" s="19">
        <v>1762522</v>
      </c>
      <c r="BH7" s="83"/>
      <c r="BI7" s="21">
        <v>1762522</v>
      </c>
      <c r="BJ7" s="978">
        <v>56334</v>
      </c>
      <c r="BK7" s="205"/>
      <c r="BL7" s="206">
        <v>56334</v>
      </c>
      <c r="BM7" s="978"/>
      <c r="BN7" s="205"/>
      <c r="BO7" s="206"/>
      <c r="BP7" s="197"/>
      <c r="BQ7" s="198"/>
      <c r="BR7" s="577"/>
      <c r="BS7" s="207">
        <f t="shared" si="0"/>
        <v>3434121</v>
      </c>
      <c r="BT7" s="198">
        <f t="shared" si="1"/>
        <v>0</v>
      </c>
      <c r="BU7" s="199">
        <f t="shared" si="1"/>
        <v>3434121</v>
      </c>
      <c r="BV7" s="197"/>
      <c r="BW7" s="198"/>
      <c r="BX7" s="206"/>
      <c r="BY7" s="207">
        <f t="shared" si="2"/>
        <v>3434121</v>
      </c>
      <c r="BZ7" s="198">
        <f t="shared" si="3"/>
        <v>0</v>
      </c>
      <c r="CA7" s="199">
        <f t="shared" si="3"/>
        <v>3434121</v>
      </c>
    </row>
    <row r="8" spans="1:79" ht="16.5">
      <c r="A8" s="493" t="s">
        <v>263</v>
      </c>
      <c r="B8" s="194"/>
      <c r="C8" s="195"/>
      <c r="D8" s="196"/>
      <c r="E8" s="197"/>
      <c r="F8" s="198"/>
      <c r="G8" s="199"/>
      <c r="H8" s="197"/>
      <c r="I8" s="198"/>
      <c r="J8" s="199"/>
      <c r="K8" s="197"/>
      <c r="L8" s="198"/>
      <c r="M8" s="203"/>
      <c r="N8" s="197"/>
      <c r="O8" s="198"/>
      <c r="P8" s="199"/>
      <c r="Q8" s="197"/>
      <c r="R8" s="199"/>
      <c r="S8" s="199"/>
      <c r="T8" s="207"/>
      <c r="U8" s="198"/>
      <c r="V8" s="199"/>
      <c r="W8" s="197"/>
      <c r="X8" s="198"/>
      <c r="Y8" s="199"/>
      <c r="Z8" s="197"/>
      <c r="AA8" s="198"/>
      <c r="AB8" s="199"/>
      <c r="AC8" s="197"/>
      <c r="AD8" s="198"/>
      <c r="AE8" s="199"/>
      <c r="AF8" s="197"/>
      <c r="AG8" s="198"/>
      <c r="AH8" s="199"/>
      <c r="AI8" s="197"/>
      <c r="AJ8" s="198"/>
      <c r="AK8" s="199"/>
      <c r="AL8" s="197"/>
      <c r="AM8" s="198"/>
      <c r="AN8" s="977"/>
      <c r="AO8" s="197"/>
      <c r="AP8" s="198"/>
      <c r="AQ8" s="199"/>
      <c r="AR8" s="197"/>
      <c r="AS8" s="198"/>
      <c r="AT8" s="199"/>
      <c r="AU8" s="197"/>
      <c r="AV8" s="198"/>
      <c r="AW8" s="199"/>
      <c r="AX8" s="197">
        <v>234176</v>
      </c>
      <c r="AY8" s="198">
        <v>151563</v>
      </c>
      <c r="AZ8" s="199">
        <v>82613</v>
      </c>
      <c r="BA8" s="197">
        <v>66052</v>
      </c>
      <c r="BB8" s="198">
        <v>136533</v>
      </c>
      <c r="BC8" s="199">
        <v>146889</v>
      </c>
      <c r="BD8" s="201"/>
      <c r="BE8" s="198"/>
      <c r="BF8" s="220"/>
      <c r="BG8" s="36"/>
      <c r="BH8" s="83"/>
      <c r="BI8" s="84"/>
      <c r="BJ8" s="978"/>
      <c r="BK8" s="205"/>
      <c r="BL8" s="206"/>
      <c r="BM8" s="978"/>
      <c r="BN8" s="205"/>
      <c r="BO8" s="206"/>
      <c r="BP8" s="197"/>
      <c r="BQ8" s="198"/>
      <c r="BR8" s="577"/>
      <c r="BS8" s="207">
        <f t="shared" si="0"/>
        <v>300228</v>
      </c>
      <c r="BT8" s="198">
        <f t="shared" si="1"/>
        <v>288096</v>
      </c>
      <c r="BU8" s="199">
        <f t="shared" si="1"/>
        <v>229502</v>
      </c>
      <c r="BV8" s="978"/>
      <c r="BW8" s="205"/>
      <c r="BX8" s="206"/>
      <c r="BY8" s="207">
        <f t="shared" si="2"/>
        <v>300228</v>
      </c>
      <c r="BZ8" s="198">
        <f t="shared" si="3"/>
        <v>288096</v>
      </c>
      <c r="CA8" s="199">
        <f t="shared" si="3"/>
        <v>229502</v>
      </c>
    </row>
    <row r="9" spans="1:79" ht="16.5">
      <c r="A9" s="493" t="s">
        <v>264</v>
      </c>
      <c r="B9" s="194"/>
      <c r="C9" s="195"/>
      <c r="D9" s="196"/>
      <c r="E9" s="197"/>
      <c r="F9" s="198"/>
      <c r="G9" s="199"/>
      <c r="H9" s="197"/>
      <c r="I9" s="198"/>
      <c r="J9" s="199"/>
      <c r="K9" s="197">
        <v>1956889</v>
      </c>
      <c r="L9" s="198">
        <v>325047</v>
      </c>
      <c r="M9" s="203">
        <v>1631842</v>
      </c>
      <c r="N9" s="197"/>
      <c r="O9" s="198"/>
      <c r="P9" s="199"/>
      <c r="Q9" s="197"/>
      <c r="R9" s="198"/>
      <c r="S9" s="199"/>
      <c r="T9" s="207"/>
      <c r="U9" s="198"/>
      <c r="V9" s="199"/>
      <c r="W9" s="197">
        <v>276696</v>
      </c>
      <c r="X9" s="198">
        <v>25017</v>
      </c>
      <c r="Y9" s="199">
        <v>251680</v>
      </c>
      <c r="Z9" s="197"/>
      <c r="AA9" s="198"/>
      <c r="AB9" s="199"/>
      <c r="AC9" s="197"/>
      <c r="AD9" s="198"/>
      <c r="AE9" s="199"/>
      <c r="AF9" s="197">
        <v>2866745</v>
      </c>
      <c r="AG9" s="198">
        <v>446741</v>
      </c>
      <c r="AH9" s="199">
        <v>2420004</v>
      </c>
      <c r="AI9" s="197">
        <v>2126488</v>
      </c>
      <c r="AJ9" s="198">
        <v>97452</v>
      </c>
      <c r="AK9" s="199">
        <v>2029036</v>
      </c>
      <c r="AL9" s="197">
        <v>1218797</v>
      </c>
      <c r="AM9" s="198">
        <v>67515</v>
      </c>
      <c r="AN9" s="977">
        <v>1151282</v>
      </c>
      <c r="AO9" s="197"/>
      <c r="AP9" s="198"/>
      <c r="AQ9" s="199"/>
      <c r="AR9" s="197"/>
      <c r="AS9" s="198"/>
      <c r="AT9" s="199"/>
      <c r="AU9" s="197"/>
      <c r="AV9" s="198"/>
      <c r="AW9" s="199"/>
      <c r="AX9" s="197">
        <v>244310</v>
      </c>
      <c r="AY9" s="198">
        <v>22217</v>
      </c>
      <c r="AZ9" s="199">
        <v>222093</v>
      </c>
      <c r="BA9" s="197"/>
      <c r="BB9" s="198"/>
      <c r="BC9" s="199"/>
      <c r="BD9" s="201"/>
      <c r="BE9" s="198"/>
      <c r="BF9" s="220"/>
      <c r="BG9" s="19">
        <v>677870</v>
      </c>
      <c r="BH9" s="20">
        <v>95218</v>
      </c>
      <c r="BI9" s="21">
        <v>582651</v>
      </c>
      <c r="BJ9" s="978">
        <v>134370</v>
      </c>
      <c r="BK9" s="205">
        <v>15721</v>
      </c>
      <c r="BL9" s="206">
        <v>118649</v>
      </c>
      <c r="BM9" s="978"/>
      <c r="BN9" s="205"/>
      <c r="BO9" s="206"/>
      <c r="BP9" s="197">
        <v>1049746</v>
      </c>
      <c r="BQ9" s="198">
        <v>127707</v>
      </c>
      <c r="BR9" s="577">
        <v>922039</v>
      </c>
      <c r="BS9" s="207">
        <f t="shared" si="0"/>
        <v>10551911</v>
      </c>
      <c r="BT9" s="198">
        <f t="shared" si="1"/>
        <v>1222635</v>
      </c>
      <c r="BU9" s="199">
        <f t="shared" si="1"/>
        <v>9329276</v>
      </c>
      <c r="BV9" s="978"/>
      <c r="BW9" s="205"/>
      <c r="BX9" s="206"/>
      <c r="BY9" s="207">
        <f t="shared" si="2"/>
        <v>10551911</v>
      </c>
      <c r="BZ9" s="198">
        <f t="shared" si="3"/>
        <v>1222635</v>
      </c>
      <c r="CA9" s="199">
        <f t="shared" si="3"/>
        <v>9329276</v>
      </c>
    </row>
    <row r="10" spans="1:79" ht="16.5">
      <c r="A10" s="493" t="s">
        <v>265</v>
      </c>
      <c r="B10" s="194"/>
      <c r="C10" s="195"/>
      <c r="D10" s="196"/>
      <c r="E10" s="197"/>
      <c r="F10" s="198"/>
      <c r="G10" s="199"/>
      <c r="H10" s="197"/>
      <c r="I10" s="198"/>
      <c r="J10" s="199"/>
      <c r="K10" s="197"/>
      <c r="L10" s="198"/>
      <c r="M10" s="203"/>
      <c r="N10" s="197"/>
      <c r="O10" s="198"/>
      <c r="P10" s="199"/>
      <c r="Q10" s="197"/>
      <c r="R10" s="198"/>
      <c r="S10" s="199"/>
      <c r="T10" s="207"/>
      <c r="U10" s="198"/>
      <c r="V10" s="199"/>
      <c r="W10" s="197"/>
      <c r="X10" s="198"/>
      <c r="Y10" s="199"/>
      <c r="Z10" s="197"/>
      <c r="AA10" s="198"/>
      <c r="AB10" s="199"/>
      <c r="AC10" s="197"/>
      <c r="AD10" s="198"/>
      <c r="AE10" s="199"/>
      <c r="AF10" s="197"/>
      <c r="AG10" s="198"/>
      <c r="AH10" s="199"/>
      <c r="AI10" s="197"/>
      <c r="AJ10" s="198"/>
      <c r="AK10" s="199"/>
      <c r="AL10" s="197"/>
      <c r="AM10" s="198"/>
      <c r="AN10" s="977"/>
      <c r="AO10" s="197"/>
      <c r="AP10" s="198"/>
      <c r="AQ10" s="199"/>
      <c r="AR10" s="197"/>
      <c r="AS10" s="198"/>
      <c r="AT10" s="199"/>
      <c r="AU10" s="197"/>
      <c r="AV10" s="198"/>
      <c r="AW10" s="199"/>
      <c r="AX10" s="197"/>
      <c r="AY10" s="198"/>
      <c r="AZ10" s="199"/>
      <c r="BA10" s="197"/>
      <c r="BB10" s="198"/>
      <c r="BC10" s="199"/>
      <c r="BD10" s="201"/>
      <c r="BE10" s="198"/>
      <c r="BF10" s="220"/>
      <c r="BG10" s="19">
        <v>1427317</v>
      </c>
      <c r="BH10" s="20">
        <v>80980</v>
      </c>
      <c r="BI10" s="21">
        <v>1346337</v>
      </c>
      <c r="BJ10" s="978"/>
      <c r="BK10" s="205"/>
      <c r="BL10" s="206"/>
      <c r="BM10" s="978"/>
      <c r="BN10" s="205"/>
      <c r="BO10" s="206"/>
      <c r="BP10" s="197"/>
      <c r="BQ10" s="198"/>
      <c r="BR10" s="577"/>
      <c r="BS10" s="207">
        <f t="shared" si="0"/>
        <v>1427317</v>
      </c>
      <c r="BT10" s="198">
        <f t="shared" si="1"/>
        <v>80980</v>
      </c>
      <c r="BU10" s="199">
        <f t="shared" si="1"/>
        <v>1346337</v>
      </c>
      <c r="BV10" s="978"/>
      <c r="BW10" s="205"/>
      <c r="BX10" s="206"/>
      <c r="BY10" s="207">
        <f t="shared" si="2"/>
        <v>1427317</v>
      </c>
      <c r="BZ10" s="198">
        <f t="shared" si="3"/>
        <v>80980</v>
      </c>
      <c r="CA10" s="199">
        <f t="shared" si="3"/>
        <v>1346337</v>
      </c>
    </row>
    <row r="11" spans="1:79" ht="16.5">
      <c r="A11" s="493" t="s">
        <v>266</v>
      </c>
      <c r="B11" s="194">
        <v>182820</v>
      </c>
      <c r="C11" s="195">
        <v>135401</v>
      </c>
      <c r="D11" s="196">
        <v>47419</v>
      </c>
      <c r="E11" s="197">
        <v>29312</v>
      </c>
      <c r="F11" s="198">
        <v>13291</v>
      </c>
      <c r="G11" s="199">
        <v>16021</v>
      </c>
      <c r="H11" s="197"/>
      <c r="I11" s="198"/>
      <c r="J11" s="199"/>
      <c r="K11" s="218">
        <v>306759</v>
      </c>
      <c r="L11" s="198">
        <v>223742</v>
      </c>
      <c r="M11" s="203">
        <v>83017</v>
      </c>
      <c r="N11" s="197">
        <v>59236</v>
      </c>
      <c r="O11" s="198">
        <v>48648</v>
      </c>
      <c r="P11" s="199">
        <v>10588</v>
      </c>
      <c r="Q11" s="197">
        <v>29639</v>
      </c>
      <c r="R11" s="198">
        <v>24285</v>
      </c>
      <c r="S11" s="199">
        <v>5354</v>
      </c>
      <c r="T11" s="207">
        <v>45248</v>
      </c>
      <c r="U11" s="198">
        <v>29683</v>
      </c>
      <c r="V11" s="199">
        <v>15565</v>
      </c>
      <c r="W11" s="197">
        <v>97872</v>
      </c>
      <c r="X11" s="198">
        <v>53539</v>
      </c>
      <c r="Y11" s="199">
        <v>44333</v>
      </c>
      <c r="Z11" s="197">
        <v>126587</v>
      </c>
      <c r="AA11" s="198">
        <v>106403</v>
      </c>
      <c r="AB11" s="199">
        <v>20184</v>
      </c>
      <c r="AC11" s="197">
        <v>62152</v>
      </c>
      <c r="AD11" s="198">
        <v>42937</v>
      </c>
      <c r="AE11" s="199">
        <v>19215</v>
      </c>
      <c r="AF11" s="197">
        <v>715172</v>
      </c>
      <c r="AG11" s="198">
        <v>650463</v>
      </c>
      <c r="AH11" s="199">
        <v>64709</v>
      </c>
      <c r="AI11" s="197">
        <v>340920</v>
      </c>
      <c r="AJ11" s="198">
        <v>255627</v>
      </c>
      <c r="AK11" s="199">
        <v>85293</v>
      </c>
      <c r="AL11" s="976">
        <v>96600</v>
      </c>
      <c r="AM11" s="200">
        <v>75488</v>
      </c>
      <c r="AN11" s="977">
        <v>21112</v>
      </c>
      <c r="AO11" s="197">
        <v>23940.44</v>
      </c>
      <c r="AP11" s="198">
        <v>22486.64</v>
      </c>
      <c r="AQ11" s="199">
        <v>1453.8</v>
      </c>
      <c r="AR11" s="656">
        <v>581725</v>
      </c>
      <c r="AS11" s="657">
        <v>430320</v>
      </c>
      <c r="AT11" s="199">
        <v>151405</v>
      </c>
      <c r="AU11" s="197">
        <v>438841</v>
      </c>
      <c r="AV11" s="198">
        <v>321312</v>
      </c>
      <c r="AW11" s="199">
        <v>117530</v>
      </c>
      <c r="AX11" s="197">
        <v>71416</v>
      </c>
      <c r="AY11" s="198">
        <v>46558</v>
      </c>
      <c r="AZ11" s="199">
        <v>24858</v>
      </c>
      <c r="BA11" s="197">
        <v>121869</v>
      </c>
      <c r="BB11" s="198">
        <v>143137</v>
      </c>
      <c r="BC11" s="199">
        <v>16215</v>
      </c>
      <c r="BD11" s="201"/>
      <c r="BE11" s="198"/>
      <c r="BF11" s="220"/>
      <c r="BG11" s="19">
        <v>970651</v>
      </c>
      <c r="BH11" s="20">
        <v>615427</v>
      </c>
      <c r="BI11" s="21">
        <v>355224</v>
      </c>
      <c r="BJ11" s="978">
        <v>242569</v>
      </c>
      <c r="BK11" s="205">
        <v>122392</v>
      </c>
      <c r="BL11" s="206">
        <v>120177</v>
      </c>
      <c r="BM11" s="978">
        <v>46996</v>
      </c>
      <c r="BN11" s="205">
        <v>25998</v>
      </c>
      <c r="BO11" s="206">
        <v>20998</v>
      </c>
      <c r="BP11" s="197">
        <v>262322</v>
      </c>
      <c r="BQ11" s="198">
        <v>209941</v>
      </c>
      <c r="BR11" s="577">
        <v>52381</v>
      </c>
      <c r="BS11" s="207">
        <f t="shared" si="0"/>
        <v>4852646.4399999995</v>
      </c>
      <c r="BT11" s="198">
        <f t="shared" si="1"/>
        <v>3597078.6399999997</v>
      </c>
      <c r="BU11" s="199">
        <f t="shared" si="1"/>
        <v>1293051.8</v>
      </c>
      <c r="BV11" s="197"/>
      <c r="BW11" s="198"/>
      <c r="BX11" s="206"/>
      <c r="BY11" s="207">
        <f t="shared" si="2"/>
        <v>4852646.4399999995</v>
      </c>
      <c r="BZ11" s="198">
        <f t="shared" si="3"/>
        <v>3597078.6399999997</v>
      </c>
      <c r="CA11" s="199">
        <f t="shared" si="3"/>
        <v>1293051.8</v>
      </c>
    </row>
    <row r="12" spans="1:79" ht="16.5">
      <c r="A12" s="493" t="s">
        <v>267</v>
      </c>
      <c r="B12" s="194">
        <v>771852</v>
      </c>
      <c r="C12" s="195">
        <v>634238</v>
      </c>
      <c r="D12" s="196">
        <v>137614</v>
      </c>
      <c r="E12" s="197">
        <v>80390</v>
      </c>
      <c r="F12" s="198">
        <v>65569</v>
      </c>
      <c r="G12" s="199">
        <v>14821</v>
      </c>
      <c r="H12" s="197"/>
      <c r="I12" s="198"/>
      <c r="J12" s="199"/>
      <c r="K12" s="197">
        <v>748648</v>
      </c>
      <c r="L12" s="198">
        <v>607629</v>
      </c>
      <c r="M12" s="203">
        <v>141019</v>
      </c>
      <c r="N12" s="197">
        <v>343503</v>
      </c>
      <c r="O12" s="198">
        <v>242670</v>
      </c>
      <c r="P12" s="199">
        <v>100833</v>
      </c>
      <c r="Q12" s="197">
        <v>560493</v>
      </c>
      <c r="R12" s="198">
        <v>373049</v>
      </c>
      <c r="S12" s="199">
        <v>187444</v>
      </c>
      <c r="T12" s="207">
        <v>273971</v>
      </c>
      <c r="U12" s="198">
        <v>219240</v>
      </c>
      <c r="V12" s="199">
        <v>54731</v>
      </c>
      <c r="W12" s="197">
        <v>325516</v>
      </c>
      <c r="X12" s="198">
        <v>249591</v>
      </c>
      <c r="Y12" s="199">
        <v>75925</v>
      </c>
      <c r="Z12" s="197">
        <v>400642</v>
      </c>
      <c r="AA12" s="198">
        <v>303565</v>
      </c>
      <c r="AB12" s="199">
        <v>97077</v>
      </c>
      <c r="AC12" s="197">
        <v>409107</v>
      </c>
      <c r="AD12" s="198">
        <v>205283</v>
      </c>
      <c r="AE12" s="199">
        <v>203824</v>
      </c>
      <c r="AF12" s="197">
        <v>1117856</v>
      </c>
      <c r="AG12" s="198">
        <v>923789</v>
      </c>
      <c r="AH12" s="199">
        <v>194067</v>
      </c>
      <c r="AI12" s="197">
        <v>562667</v>
      </c>
      <c r="AJ12" s="198">
        <v>410942</v>
      </c>
      <c r="AK12" s="199">
        <v>151725</v>
      </c>
      <c r="AL12" s="976">
        <v>104419</v>
      </c>
      <c r="AM12" s="200">
        <v>88530</v>
      </c>
      <c r="AN12" s="977">
        <v>15889</v>
      </c>
      <c r="AO12" s="197">
        <v>426598.69</v>
      </c>
      <c r="AP12" s="198">
        <v>287615.85</v>
      </c>
      <c r="AQ12" s="199">
        <v>138982.84</v>
      </c>
      <c r="AR12" s="656">
        <v>763352</v>
      </c>
      <c r="AS12" s="657">
        <v>569908</v>
      </c>
      <c r="AT12" s="199">
        <v>193444</v>
      </c>
      <c r="AU12" s="197">
        <v>1451431</v>
      </c>
      <c r="AV12" s="198">
        <v>1232151</v>
      </c>
      <c r="AW12" s="199">
        <v>219280</v>
      </c>
      <c r="AX12" s="197">
        <f>769354+195708</f>
        <v>965062</v>
      </c>
      <c r="AY12" s="198">
        <f>526957+163090</f>
        <v>690047</v>
      </c>
      <c r="AZ12" s="199">
        <f>242397+32618</f>
        <v>275015</v>
      </c>
      <c r="BA12" s="197">
        <v>461663</v>
      </c>
      <c r="BB12" s="198">
        <v>511552</v>
      </c>
      <c r="BC12" s="199">
        <v>69839</v>
      </c>
      <c r="BD12" s="201"/>
      <c r="BE12" s="198"/>
      <c r="BF12" s="220"/>
      <c r="BG12" s="19">
        <v>1469465</v>
      </c>
      <c r="BH12" s="20">
        <v>1386745</v>
      </c>
      <c r="BI12" s="21">
        <v>82720</v>
      </c>
      <c r="BJ12" s="978">
        <v>247116</v>
      </c>
      <c r="BK12" s="205">
        <v>178832</v>
      </c>
      <c r="BL12" s="206">
        <v>68284</v>
      </c>
      <c r="BM12" s="978">
        <f>141747</f>
        <v>141747</v>
      </c>
      <c r="BN12" s="205">
        <v>118374</v>
      </c>
      <c r="BO12" s="206">
        <v>23373</v>
      </c>
      <c r="BP12" s="197">
        <v>1230655</v>
      </c>
      <c r="BQ12" s="198">
        <v>900366</v>
      </c>
      <c r="BR12" s="577">
        <v>330289</v>
      </c>
      <c r="BS12" s="207">
        <f t="shared" si="0"/>
        <v>12856153.690000001</v>
      </c>
      <c r="BT12" s="198">
        <f t="shared" si="1"/>
        <v>10199685.85</v>
      </c>
      <c r="BU12" s="199">
        <f t="shared" si="1"/>
        <v>2776195.84</v>
      </c>
      <c r="BV12" s="197"/>
      <c r="BW12" s="198"/>
      <c r="BX12" s="206"/>
      <c r="BY12" s="207">
        <f t="shared" si="2"/>
        <v>12856153.690000001</v>
      </c>
      <c r="BZ12" s="198">
        <f t="shared" si="3"/>
        <v>10199685.85</v>
      </c>
      <c r="CA12" s="199">
        <f t="shared" si="3"/>
        <v>2776195.84</v>
      </c>
    </row>
    <row r="13" spans="1:79" ht="16.5">
      <c r="A13" s="493" t="s">
        <v>268</v>
      </c>
      <c r="B13" s="194">
        <v>89182</v>
      </c>
      <c r="C13" s="195">
        <v>39173</v>
      </c>
      <c r="D13" s="196">
        <v>50009</v>
      </c>
      <c r="E13" s="197">
        <v>275</v>
      </c>
      <c r="F13" s="198">
        <v>275</v>
      </c>
      <c r="G13" s="199"/>
      <c r="H13" s="197"/>
      <c r="I13" s="198"/>
      <c r="J13" s="199"/>
      <c r="K13" s="197">
        <v>43296</v>
      </c>
      <c r="L13" s="198">
        <v>28766</v>
      </c>
      <c r="M13" s="203">
        <v>14530</v>
      </c>
      <c r="N13" s="197"/>
      <c r="O13" s="198"/>
      <c r="P13" s="199"/>
      <c r="Q13" s="197">
        <v>5940</v>
      </c>
      <c r="R13" s="198">
        <v>2146</v>
      </c>
      <c r="S13" s="199">
        <v>3794</v>
      </c>
      <c r="T13" s="207"/>
      <c r="U13" s="198"/>
      <c r="V13" s="199"/>
      <c r="W13" s="197">
        <v>10540</v>
      </c>
      <c r="X13" s="198">
        <v>8666</v>
      </c>
      <c r="Y13" s="199">
        <v>1874</v>
      </c>
      <c r="Z13" s="197">
        <v>16304</v>
      </c>
      <c r="AA13" s="198">
        <v>16304</v>
      </c>
      <c r="AB13" s="199">
        <v>0</v>
      </c>
      <c r="AC13" s="197">
        <v>8005</v>
      </c>
      <c r="AD13" s="198">
        <v>6176</v>
      </c>
      <c r="AE13" s="199">
        <v>1829</v>
      </c>
      <c r="AF13" s="197">
        <v>181618</v>
      </c>
      <c r="AG13" s="198">
        <v>93357</v>
      </c>
      <c r="AH13" s="199">
        <v>88261</v>
      </c>
      <c r="AI13" s="197">
        <v>79917</v>
      </c>
      <c r="AJ13" s="198">
        <v>42764</v>
      </c>
      <c r="AK13" s="199">
        <v>37153</v>
      </c>
      <c r="AL13" s="976">
        <v>26786</v>
      </c>
      <c r="AM13" s="200">
        <v>9023</v>
      </c>
      <c r="AN13" s="977">
        <v>17763</v>
      </c>
      <c r="AO13" s="197">
        <v>31422.58</v>
      </c>
      <c r="AP13" s="198">
        <v>10300.82</v>
      </c>
      <c r="AQ13" s="199">
        <v>21121.76</v>
      </c>
      <c r="AR13" s="197">
        <v>148045</v>
      </c>
      <c r="AS13" s="198">
        <v>73166</v>
      </c>
      <c r="AT13" s="199">
        <v>74879</v>
      </c>
      <c r="AU13" s="197">
        <v>28239</v>
      </c>
      <c r="AV13" s="198">
        <v>23172</v>
      </c>
      <c r="AW13" s="199">
        <v>5068</v>
      </c>
      <c r="AX13" s="197">
        <v>5779</v>
      </c>
      <c r="AY13" s="198">
        <v>709</v>
      </c>
      <c r="AZ13" s="199">
        <v>5070</v>
      </c>
      <c r="BA13" s="197"/>
      <c r="BB13" s="198"/>
      <c r="BC13" s="199"/>
      <c r="BD13" s="201"/>
      <c r="BE13" s="198"/>
      <c r="BF13" s="220"/>
      <c r="BG13" s="19">
        <v>2495</v>
      </c>
      <c r="BH13" s="20">
        <v>546</v>
      </c>
      <c r="BI13" s="21">
        <v>1949</v>
      </c>
      <c r="BJ13" s="978">
        <v>7482</v>
      </c>
      <c r="BK13" s="205">
        <v>5460</v>
      </c>
      <c r="BL13" s="206">
        <v>2023</v>
      </c>
      <c r="BM13" s="978">
        <v>21684</v>
      </c>
      <c r="BN13" s="205">
        <v>12089</v>
      </c>
      <c r="BO13" s="206">
        <v>9595</v>
      </c>
      <c r="BP13" s="197">
        <v>8432</v>
      </c>
      <c r="BQ13" s="198">
        <v>3236</v>
      </c>
      <c r="BR13" s="577">
        <v>5196</v>
      </c>
      <c r="BS13" s="207">
        <f t="shared" si="0"/>
        <v>715441.5800000001</v>
      </c>
      <c r="BT13" s="198">
        <f t="shared" si="1"/>
        <v>375328.82</v>
      </c>
      <c r="BU13" s="199">
        <f t="shared" si="1"/>
        <v>340114.76</v>
      </c>
      <c r="BV13" s="197"/>
      <c r="BW13" s="198"/>
      <c r="BX13" s="206"/>
      <c r="BY13" s="207">
        <f t="shared" si="2"/>
        <v>715441.5800000001</v>
      </c>
      <c r="BZ13" s="198">
        <f t="shared" si="3"/>
        <v>375328.82</v>
      </c>
      <c r="CA13" s="199">
        <f t="shared" si="3"/>
        <v>340114.76</v>
      </c>
    </row>
    <row r="14" spans="1:79" ht="16.5">
      <c r="A14" s="493" t="s">
        <v>269</v>
      </c>
      <c r="B14" s="194">
        <v>220857</v>
      </c>
      <c r="C14" s="195">
        <v>182959</v>
      </c>
      <c r="D14" s="196">
        <v>37898</v>
      </c>
      <c r="E14" s="197">
        <v>22694</v>
      </c>
      <c r="F14" s="198">
        <v>11740</v>
      </c>
      <c r="G14" s="199">
        <v>10954</v>
      </c>
      <c r="H14" s="197"/>
      <c r="I14" s="198"/>
      <c r="J14" s="199"/>
      <c r="K14" s="197">
        <v>169600</v>
      </c>
      <c r="L14" s="198">
        <v>131245</v>
      </c>
      <c r="M14" s="203">
        <v>38355</v>
      </c>
      <c r="N14" s="197">
        <v>112807</v>
      </c>
      <c r="O14" s="198">
        <v>65476</v>
      </c>
      <c r="P14" s="199">
        <v>47331</v>
      </c>
      <c r="Q14" s="197">
        <v>20820</v>
      </c>
      <c r="R14" s="198">
        <v>16015</v>
      </c>
      <c r="S14" s="199">
        <v>4805</v>
      </c>
      <c r="T14" s="207">
        <v>67597</v>
      </c>
      <c r="U14" s="198">
        <v>40133</v>
      </c>
      <c r="V14" s="199">
        <v>27464</v>
      </c>
      <c r="W14" s="197">
        <v>86647</v>
      </c>
      <c r="X14" s="198">
        <v>71469</v>
      </c>
      <c r="Y14" s="199">
        <v>15178</v>
      </c>
      <c r="Z14" s="197">
        <v>224672</v>
      </c>
      <c r="AA14" s="198">
        <v>191120</v>
      </c>
      <c r="AB14" s="199">
        <v>33552</v>
      </c>
      <c r="AC14" s="197">
        <v>90545</v>
      </c>
      <c r="AD14" s="198">
        <v>53971</v>
      </c>
      <c r="AE14" s="199">
        <v>36574</v>
      </c>
      <c r="AF14" s="197">
        <v>639332</v>
      </c>
      <c r="AG14" s="198">
        <v>540857</v>
      </c>
      <c r="AH14" s="199">
        <v>98475</v>
      </c>
      <c r="AI14" s="197">
        <v>523641</v>
      </c>
      <c r="AJ14" s="198">
        <v>409346</v>
      </c>
      <c r="AK14" s="199">
        <v>114295</v>
      </c>
      <c r="AL14" s="976">
        <v>90620</v>
      </c>
      <c r="AM14" s="200">
        <v>66062</v>
      </c>
      <c r="AN14" s="977">
        <v>24558</v>
      </c>
      <c r="AO14" s="197">
        <v>57353.3</v>
      </c>
      <c r="AP14" s="198">
        <v>39086.88</v>
      </c>
      <c r="AQ14" s="199">
        <v>18266.42</v>
      </c>
      <c r="AR14" s="197">
        <v>173991</v>
      </c>
      <c r="AS14" s="198">
        <v>122026</v>
      </c>
      <c r="AT14" s="199">
        <v>51965</v>
      </c>
      <c r="AU14" s="197">
        <v>604915</v>
      </c>
      <c r="AV14" s="198">
        <v>455917</v>
      </c>
      <c r="AW14" s="199">
        <v>148998</v>
      </c>
      <c r="AX14" s="197">
        <v>124468</v>
      </c>
      <c r="AY14" s="198">
        <v>94373</v>
      </c>
      <c r="AZ14" s="199">
        <v>30095</v>
      </c>
      <c r="BA14" s="197">
        <v>171241</v>
      </c>
      <c r="BB14" s="198">
        <v>202935</v>
      </c>
      <c r="BC14" s="199">
        <v>35051</v>
      </c>
      <c r="BD14" s="201"/>
      <c r="BE14" s="198"/>
      <c r="BF14" s="220"/>
      <c r="BG14" s="19">
        <v>745538</v>
      </c>
      <c r="BH14" s="20">
        <v>453169</v>
      </c>
      <c r="BI14" s="21">
        <v>292369</v>
      </c>
      <c r="BJ14" s="978">
        <v>60295</v>
      </c>
      <c r="BK14" s="205">
        <v>23280</v>
      </c>
      <c r="BL14" s="206">
        <v>37012</v>
      </c>
      <c r="BM14" s="978">
        <v>43393</v>
      </c>
      <c r="BN14" s="205">
        <v>29888</v>
      </c>
      <c r="BO14" s="206">
        <v>13505</v>
      </c>
      <c r="BP14" s="197">
        <v>300658</v>
      </c>
      <c r="BQ14" s="198">
        <v>232428</v>
      </c>
      <c r="BR14" s="577">
        <v>68230</v>
      </c>
      <c r="BS14" s="207">
        <f t="shared" si="0"/>
        <v>4551684.3</v>
      </c>
      <c r="BT14" s="198">
        <f t="shared" si="1"/>
        <v>3433495.88</v>
      </c>
      <c r="BU14" s="199">
        <f t="shared" si="1"/>
        <v>1184930.42</v>
      </c>
      <c r="BV14" s="197"/>
      <c r="BW14" s="198"/>
      <c r="BX14" s="206"/>
      <c r="BY14" s="207">
        <f t="shared" si="2"/>
        <v>4551684.3</v>
      </c>
      <c r="BZ14" s="198">
        <f t="shared" si="3"/>
        <v>3433495.88</v>
      </c>
      <c r="CA14" s="199">
        <f t="shared" si="3"/>
        <v>1184930.42</v>
      </c>
    </row>
    <row r="15" spans="1:79" ht="16.5">
      <c r="A15" s="493" t="s">
        <v>270</v>
      </c>
      <c r="B15" s="194">
        <v>371855</v>
      </c>
      <c r="C15" s="195">
        <v>323422</v>
      </c>
      <c r="D15" s="196">
        <v>48433</v>
      </c>
      <c r="E15" s="197">
        <v>57953</v>
      </c>
      <c r="F15" s="198">
        <v>34741</v>
      </c>
      <c r="G15" s="199">
        <v>23212</v>
      </c>
      <c r="H15" s="197"/>
      <c r="I15" s="198"/>
      <c r="J15" s="199"/>
      <c r="K15" s="197">
        <v>570912</v>
      </c>
      <c r="L15" s="198">
        <v>308318</v>
      </c>
      <c r="M15" s="203">
        <v>262594</v>
      </c>
      <c r="N15" s="197">
        <v>136100</v>
      </c>
      <c r="O15" s="198">
        <v>124570</v>
      </c>
      <c r="P15" s="199">
        <v>11529</v>
      </c>
      <c r="Q15" s="197">
        <v>54520</v>
      </c>
      <c r="R15" s="198">
        <v>38759</v>
      </c>
      <c r="S15" s="199">
        <v>15761</v>
      </c>
      <c r="T15" s="207">
        <v>242286</v>
      </c>
      <c r="U15" s="198">
        <v>122162</v>
      </c>
      <c r="V15" s="199">
        <v>120124</v>
      </c>
      <c r="W15" s="197">
        <v>158114</v>
      </c>
      <c r="X15" s="198">
        <v>93773</v>
      </c>
      <c r="Y15" s="199">
        <v>64341</v>
      </c>
      <c r="Z15" s="197">
        <v>635532</v>
      </c>
      <c r="AA15" s="198">
        <v>515186</v>
      </c>
      <c r="AB15" s="199">
        <v>120346</v>
      </c>
      <c r="AC15" s="197">
        <v>134790</v>
      </c>
      <c r="AD15" s="198">
        <v>61862</v>
      </c>
      <c r="AE15" s="199">
        <v>72928</v>
      </c>
      <c r="AF15" s="197">
        <v>19901</v>
      </c>
      <c r="AG15" s="198">
        <v>16367</v>
      </c>
      <c r="AH15" s="199">
        <v>3534</v>
      </c>
      <c r="AI15" s="197">
        <v>1450968</v>
      </c>
      <c r="AJ15" s="198">
        <v>1067104</v>
      </c>
      <c r="AK15" s="199">
        <v>383864</v>
      </c>
      <c r="AL15" s="976">
        <v>24929</v>
      </c>
      <c r="AM15" s="200">
        <v>22460</v>
      </c>
      <c r="AN15" s="977">
        <v>2469</v>
      </c>
      <c r="AO15" s="197">
        <v>195586.82</v>
      </c>
      <c r="AP15" s="198">
        <v>72799.85</v>
      </c>
      <c r="AQ15" s="199">
        <v>122786.97</v>
      </c>
      <c r="AR15" s="197"/>
      <c r="AS15" s="198"/>
      <c r="AT15" s="199"/>
      <c r="AU15" s="197">
        <v>1494647</v>
      </c>
      <c r="AV15" s="198">
        <v>1093020</v>
      </c>
      <c r="AW15" s="199">
        <v>401627</v>
      </c>
      <c r="AX15" s="197"/>
      <c r="AY15" s="198"/>
      <c r="AZ15" s="199"/>
      <c r="BA15" s="197"/>
      <c r="BB15" s="198"/>
      <c r="BC15" s="199"/>
      <c r="BD15" s="201"/>
      <c r="BE15" s="198"/>
      <c r="BF15" s="220"/>
      <c r="BG15" s="19">
        <v>1139235</v>
      </c>
      <c r="BH15" s="20">
        <v>375398</v>
      </c>
      <c r="BI15" s="21">
        <v>763837</v>
      </c>
      <c r="BJ15" s="978"/>
      <c r="BK15" s="205"/>
      <c r="BL15" s="206"/>
      <c r="BM15" s="978">
        <v>90236</v>
      </c>
      <c r="BN15" s="205">
        <v>67583</v>
      </c>
      <c r="BO15" s="206">
        <v>22653</v>
      </c>
      <c r="BP15" s="197">
        <v>705443</v>
      </c>
      <c r="BQ15" s="198">
        <v>613113</v>
      </c>
      <c r="BR15" s="577">
        <v>92330</v>
      </c>
      <c r="BS15" s="207">
        <f t="shared" si="0"/>
        <v>7483007.82</v>
      </c>
      <c r="BT15" s="198">
        <f t="shared" si="1"/>
        <v>4950637.85</v>
      </c>
      <c r="BU15" s="199">
        <f t="shared" si="1"/>
        <v>2532368.9699999997</v>
      </c>
      <c r="BV15" s="197"/>
      <c r="BW15" s="198"/>
      <c r="BX15" s="206"/>
      <c r="BY15" s="207">
        <f t="shared" si="2"/>
        <v>7483007.82</v>
      </c>
      <c r="BZ15" s="198">
        <f t="shared" si="3"/>
        <v>4950637.85</v>
      </c>
      <c r="CA15" s="199">
        <f t="shared" si="3"/>
        <v>2532368.9699999997</v>
      </c>
    </row>
    <row r="16" spans="1:79" ht="16.5">
      <c r="A16" s="493" t="s">
        <v>271</v>
      </c>
      <c r="B16" s="194"/>
      <c r="C16" s="195"/>
      <c r="D16" s="196"/>
      <c r="E16" s="197"/>
      <c r="F16" s="198"/>
      <c r="G16" s="199"/>
      <c r="H16" s="197"/>
      <c r="I16" s="198"/>
      <c r="J16" s="199"/>
      <c r="K16" s="197">
        <v>280234</v>
      </c>
      <c r="L16" s="198">
        <v>139913</v>
      </c>
      <c r="M16" s="203">
        <v>140321</v>
      </c>
      <c r="N16" s="197"/>
      <c r="O16" s="198"/>
      <c r="P16" s="199"/>
      <c r="Q16" s="197"/>
      <c r="R16" s="198"/>
      <c r="S16" s="199"/>
      <c r="T16" s="207"/>
      <c r="U16" s="198"/>
      <c r="V16" s="199"/>
      <c r="W16" s="197"/>
      <c r="X16" s="198"/>
      <c r="Y16" s="199"/>
      <c r="Z16" s="197"/>
      <c r="AA16" s="198"/>
      <c r="AB16" s="199"/>
      <c r="AC16" s="197"/>
      <c r="AD16" s="198"/>
      <c r="AE16" s="199"/>
      <c r="AF16" s="197"/>
      <c r="AG16" s="198"/>
      <c r="AH16" s="199"/>
      <c r="AI16" s="197">
        <v>1246634</v>
      </c>
      <c r="AJ16" s="198">
        <v>539397</v>
      </c>
      <c r="AK16" s="199">
        <v>707237</v>
      </c>
      <c r="AL16" s="976">
        <v>124833</v>
      </c>
      <c r="AM16" s="200">
        <v>83390</v>
      </c>
      <c r="AN16" s="977">
        <v>41443</v>
      </c>
      <c r="AO16" s="197"/>
      <c r="AP16" s="198"/>
      <c r="AQ16" s="199"/>
      <c r="AR16" s="656"/>
      <c r="AS16" s="657"/>
      <c r="AT16" s="1170"/>
      <c r="AU16" s="197"/>
      <c r="AV16" s="198"/>
      <c r="AW16" s="199"/>
      <c r="AX16" s="197"/>
      <c r="AY16" s="198"/>
      <c r="AZ16" s="199"/>
      <c r="BA16" s="197"/>
      <c r="BB16" s="198"/>
      <c r="BC16" s="199"/>
      <c r="BD16" s="201"/>
      <c r="BE16" s="198"/>
      <c r="BF16" s="220"/>
      <c r="BG16" s="19">
        <v>402099</v>
      </c>
      <c r="BH16" s="20">
        <v>285514</v>
      </c>
      <c r="BI16" s="21">
        <v>116586</v>
      </c>
      <c r="BJ16" s="978"/>
      <c r="BK16" s="205"/>
      <c r="BL16" s="206"/>
      <c r="BM16" s="978">
        <v>279283</v>
      </c>
      <c r="BN16" s="205">
        <v>246226</v>
      </c>
      <c r="BO16" s="206">
        <v>33057</v>
      </c>
      <c r="BP16" s="197"/>
      <c r="BQ16" s="198"/>
      <c r="BR16" s="577"/>
      <c r="BS16" s="207">
        <f t="shared" si="0"/>
        <v>2333083</v>
      </c>
      <c r="BT16" s="198">
        <f t="shared" si="1"/>
        <v>1294440</v>
      </c>
      <c r="BU16" s="199">
        <f t="shared" si="1"/>
        <v>1038644</v>
      </c>
      <c r="BV16" s="197"/>
      <c r="BW16" s="198"/>
      <c r="BX16" s="206"/>
      <c r="BY16" s="207">
        <f t="shared" si="2"/>
        <v>2333083</v>
      </c>
      <c r="BZ16" s="198">
        <f t="shared" si="3"/>
        <v>1294440</v>
      </c>
      <c r="CA16" s="199">
        <f t="shared" si="3"/>
        <v>1038644</v>
      </c>
    </row>
    <row r="17" spans="1:79" ht="16.5">
      <c r="A17" s="493" t="s">
        <v>272</v>
      </c>
      <c r="B17" s="194"/>
      <c r="C17" s="195"/>
      <c r="D17" s="196"/>
      <c r="E17" s="197"/>
      <c r="F17" s="198"/>
      <c r="G17" s="199"/>
      <c r="H17" s="197"/>
      <c r="I17" s="198"/>
      <c r="J17" s="199"/>
      <c r="K17" s="197">
        <v>26893</v>
      </c>
      <c r="L17" s="198">
        <v>24347</v>
      </c>
      <c r="M17" s="203">
        <v>2546</v>
      </c>
      <c r="N17" s="197"/>
      <c r="O17" s="198"/>
      <c r="P17" s="199"/>
      <c r="Q17" s="197"/>
      <c r="R17" s="198"/>
      <c r="S17" s="199"/>
      <c r="T17" s="207"/>
      <c r="U17" s="198"/>
      <c r="V17" s="199"/>
      <c r="W17" s="197"/>
      <c r="X17" s="198"/>
      <c r="Y17" s="199"/>
      <c r="Z17" s="197"/>
      <c r="AA17" s="198"/>
      <c r="AB17" s="199"/>
      <c r="AC17" s="197"/>
      <c r="AD17" s="198"/>
      <c r="AE17" s="199"/>
      <c r="AF17" s="197"/>
      <c r="AG17" s="198"/>
      <c r="AH17" s="199"/>
      <c r="AI17" s="197"/>
      <c r="AJ17" s="198"/>
      <c r="AK17" s="199"/>
      <c r="AL17" s="976">
        <v>15597</v>
      </c>
      <c r="AM17" s="200">
        <v>5067</v>
      </c>
      <c r="AN17" s="977">
        <v>10530</v>
      </c>
      <c r="AO17" s="197"/>
      <c r="AP17" s="198"/>
      <c r="AQ17" s="199"/>
      <c r="AR17" s="656"/>
      <c r="AS17" s="657"/>
      <c r="AT17" s="1170"/>
      <c r="AU17" s="197"/>
      <c r="AV17" s="198"/>
      <c r="AW17" s="199"/>
      <c r="AX17" s="197"/>
      <c r="AY17" s="198"/>
      <c r="AZ17" s="199"/>
      <c r="BA17" s="197"/>
      <c r="BB17" s="198"/>
      <c r="BC17" s="199"/>
      <c r="BD17" s="201"/>
      <c r="BE17" s="198"/>
      <c r="BF17" s="220"/>
      <c r="BG17" s="19"/>
      <c r="BH17" s="20"/>
      <c r="BI17" s="21"/>
      <c r="BJ17" s="978">
        <v>82329</v>
      </c>
      <c r="BK17" s="205">
        <v>35480</v>
      </c>
      <c r="BL17" s="206">
        <v>46849</v>
      </c>
      <c r="BM17" s="978"/>
      <c r="BN17" s="205"/>
      <c r="BO17" s="206"/>
      <c r="BP17" s="197"/>
      <c r="BQ17" s="198"/>
      <c r="BR17" s="577"/>
      <c r="BS17" s="207">
        <f t="shared" si="0"/>
        <v>124819</v>
      </c>
      <c r="BT17" s="198">
        <f t="shared" si="1"/>
        <v>64894</v>
      </c>
      <c r="BU17" s="199">
        <f t="shared" si="1"/>
        <v>59925</v>
      </c>
      <c r="BV17" s="197"/>
      <c r="BW17" s="198"/>
      <c r="BX17" s="206"/>
      <c r="BY17" s="207">
        <f t="shared" si="2"/>
        <v>124819</v>
      </c>
      <c r="BZ17" s="198">
        <f t="shared" si="3"/>
        <v>64894</v>
      </c>
      <c r="CA17" s="199">
        <f t="shared" si="3"/>
        <v>59925</v>
      </c>
    </row>
    <row r="18" spans="1:79" ht="16.5">
      <c r="A18" s="493" t="s">
        <v>273</v>
      </c>
      <c r="B18" s="194"/>
      <c r="C18" s="195"/>
      <c r="D18" s="196"/>
      <c r="E18" s="197"/>
      <c r="F18" s="198"/>
      <c r="G18" s="199"/>
      <c r="H18" s="197"/>
      <c r="I18" s="198"/>
      <c r="J18" s="199"/>
      <c r="K18" s="197">
        <v>168255</v>
      </c>
      <c r="L18" s="198">
        <v>111310</v>
      </c>
      <c r="M18" s="203">
        <v>56945</v>
      </c>
      <c r="N18" s="197"/>
      <c r="O18" s="198"/>
      <c r="P18" s="199"/>
      <c r="Q18" s="197"/>
      <c r="R18" s="198"/>
      <c r="S18" s="199"/>
      <c r="T18" s="207"/>
      <c r="U18" s="198"/>
      <c r="V18" s="199"/>
      <c r="W18" s="197"/>
      <c r="X18" s="198"/>
      <c r="Y18" s="199"/>
      <c r="Z18" s="197"/>
      <c r="AA18" s="198"/>
      <c r="AB18" s="199"/>
      <c r="AC18" s="197"/>
      <c r="AD18" s="198"/>
      <c r="AE18" s="199"/>
      <c r="AF18" s="197"/>
      <c r="AG18" s="198"/>
      <c r="AH18" s="199"/>
      <c r="AI18" s="197"/>
      <c r="AJ18" s="198"/>
      <c r="AK18" s="199"/>
      <c r="AL18" s="976"/>
      <c r="AM18" s="200"/>
      <c r="AN18" s="977"/>
      <c r="AO18" s="197"/>
      <c r="AP18" s="198"/>
      <c r="AQ18" s="199"/>
      <c r="AR18" s="656"/>
      <c r="AS18" s="657"/>
      <c r="AT18" s="1170"/>
      <c r="AU18" s="197"/>
      <c r="AV18" s="198"/>
      <c r="AW18" s="199"/>
      <c r="AX18" s="197"/>
      <c r="AY18" s="198"/>
      <c r="AZ18" s="199"/>
      <c r="BA18" s="197"/>
      <c r="BB18" s="198"/>
      <c r="BC18" s="199"/>
      <c r="BD18" s="201"/>
      <c r="BE18" s="198"/>
      <c r="BF18" s="220"/>
      <c r="BG18" s="19"/>
      <c r="BH18" s="20"/>
      <c r="BI18" s="21"/>
      <c r="BJ18" s="978"/>
      <c r="BK18" s="205"/>
      <c r="BL18" s="206"/>
      <c r="BM18" s="978">
        <v>18116</v>
      </c>
      <c r="BN18" s="205">
        <v>7049</v>
      </c>
      <c r="BO18" s="206">
        <v>11067</v>
      </c>
      <c r="BP18" s="197"/>
      <c r="BQ18" s="198"/>
      <c r="BR18" s="577"/>
      <c r="BS18" s="207">
        <f t="shared" si="0"/>
        <v>186371</v>
      </c>
      <c r="BT18" s="198">
        <f t="shared" si="1"/>
        <v>118359</v>
      </c>
      <c r="BU18" s="199">
        <f t="shared" si="1"/>
        <v>68012</v>
      </c>
      <c r="BV18" s="197"/>
      <c r="BW18" s="198"/>
      <c r="BX18" s="206"/>
      <c r="BY18" s="207">
        <f t="shared" si="2"/>
        <v>186371</v>
      </c>
      <c r="BZ18" s="198">
        <f t="shared" si="3"/>
        <v>118359</v>
      </c>
      <c r="CA18" s="199">
        <f t="shared" si="3"/>
        <v>68012</v>
      </c>
    </row>
    <row r="19" spans="1:79" ht="16.5">
      <c r="A19" s="493" t="s">
        <v>274</v>
      </c>
      <c r="B19" s="194"/>
      <c r="C19" s="195"/>
      <c r="D19" s="196"/>
      <c r="E19" s="197"/>
      <c r="F19" s="198"/>
      <c r="G19" s="199"/>
      <c r="H19" s="197"/>
      <c r="I19" s="198"/>
      <c r="J19" s="199"/>
      <c r="K19" s="197">
        <v>14914</v>
      </c>
      <c r="L19" s="198">
        <v>8834</v>
      </c>
      <c r="M19" s="203">
        <v>6080</v>
      </c>
      <c r="N19" s="197"/>
      <c r="O19" s="198"/>
      <c r="P19" s="199"/>
      <c r="Q19" s="197"/>
      <c r="R19" s="198"/>
      <c r="S19" s="199"/>
      <c r="T19" s="207"/>
      <c r="U19" s="198"/>
      <c r="V19" s="199"/>
      <c r="W19" s="197"/>
      <c r="X19" s="198"/>
      <c r="Y19" s="199"/>
      <c r="Z19" s="197"/>
      <c r="AA19" s="198"/>
      <c r="AB19" s="199"/>
      <c r="AC19" s="197"/>
      <c r="AD19" s="198"/>
      <c r="AE19" s="199"/>
      <c r="AF19" s="197"/>
      <c r="AG19" s="198"/>
      <c r="AH19" s="199"/>
      <c r="AI19" s="197"/>
      <c r="AJ19" s="198"/>
      <c r="AK19" s="199"/>
      <c r="AL19" s="976"/>
      <c r="AM19" s="200"/>
      <c r="AN19" s="977"/>
      <c r="AO19" s="197"/>
      <c r="AP19" s="198"/>
      <c r="AQ19" s="199"/>
      <c r="AR19" s="656"/>
      <c r="AS19" s="657"/>
      <c r="AT19" s="1170"/>
      <c r="AU19" s="197"/>
      <c r="AV19" s="198"/>
      <c r="AW19" s="199"/>
      <c r="AX19" s="197"/>
      <c r="AY19" s="198"/>
      <c r="AZ19" s="199"/>
      <c r="BA19" s="197"/>
      <c r="BB19" s="198"/>
      <c r="BC19" s="199"/>
      <c r="BD19" s="201"/>
      <c r="BE19" s="198"/>
      <c r="BF19" s="220"/>
      <c r="BG19" s="19"/>
      <c r="BH19" s="20"/>
      <c r="BI19" s="21"/>
      <c r="BJ19" s="978"/>
      <c r="BK19" s="205"/>
      <c r="BL19" s="206"/>
      <c r="BM19" s="978"/>
      <c r="BN19" s="205"/>
      <c r="BO19" s="206"/>
      <c r="BP19" s="197"/>
      <c r="BQ19" s="198"/>
      <c r="BR19" s="577"/>
      <c r="BS19" s="207">
        <f t="shared" si="0"/>
        <v>14914</v>
      </c>
      <c r="BT19" s="198">
        <f t="shared" si="1"/>
        <v>8834</v>
      </c>
      <c r="BU19" s="199">
        <f t="shared" si="1"/>
        <v>6080</v>
      </c>
      <c r="BV19" s="197"/>
      <c r="BW19" s="198"/>
      <c r="BX19" s="206"/>
      <c r="BY19" s="207">
        <f t="shared" si="2"/>
        <v>14914</v>
      </c>
      <c r="BZ19" s="198">
        <f t="shared" si="3"/>
        <v>8834</v>
      </c>
      <c r="CA19" s="199">
        <f t="shared" si="3"/>
        <v>6080</v>
      </c>
    </row>
    <row r="20" spans="1:79" ht="16.5">
      <c r="A20" s="493" t="s">
        <v>74</v>
      </c>
      <c r="B20" s="194"/>
      <c r="C20" s="195"/>
      <c r="D20" s="196"/>
      <c r="E20" s="197"/>
      <c r="F20" s="198"/>
      <c r="G20" s="199"/>
      <c r="H20" s="197"/>
      <c r="I20" s="198"/>
      <c r="J20" s="199"/>
      <c r="K20" s="197"/>
      <c r="L20" s="198"/>
      <c r="M20" s="203"/>
      <c r="N20" s="197"/>
      <c r="O20" s="198"/>
      <c r="P20" s="199"/>
      <c r="Q20" s="197">
        <v>13186</v>
      </c>
      <c r="R20" s="198">
        <v>12536</v>
      </c>
      <c r="S20" s="199">
        <v>650</v>
      </c>
      <c r="T20" s="207"/>
      <c r="U20" s="198"/>
      <c r="V20" s="199"/>
      <c r="W20" s="197"/>
      <c r="X20" s="198"/>
      <c r="Y20" s="199"/>
      <c r="Z20" s="197"/>
      <c r="AA20" s="198"/>
      <c r="AB20" s="199"/>
      <c r="AC20" s="197"/>
      <c r="AD20" s="198"/>
      <c r="AE20" s="199"/>
      <c r="AF20" s="197"/>
      <c r="AG20" s="198"/>
      <c r="AH20" s="199"/>
      <c r="AI20" s="197"/>
      <c r="AJ20" s="198"/>
      <c r="AK20" s="199"/>
      <c r="AL20" s="976">
        <v>375</v>
      </c>
      <c r="AM20" s="200"/>
      <c r="AN20" s="977">
        <v>375</v>
      </c>
      <c r="AO20" s="197"/>
      <c r="AP20" s="198"/>
      <c r="AQ20" s="199"/>
      <c r="AR20" s="656"/>
      <c r="AS20" s="657"/>
      <c r="AT20" s="1170"/>
      <c r="AU20" s="197"/>
      <c r="AV20" s="198"/>
      <c r="AW20" s="199"/>
      <c r="AX20" s="197"/>
      <c r="AY20" s="198"/>
      <c r="AZ20" s="199"/>
      <c r="BA20" s="197"/>
      <c r="BB20" s="198"/>
      <c r="BC20" s="199"/>
      <c r="BD20" s="201"/>
      <c r="BE20" s="198"/>
      <c r="BF20" s="220"/>
      <c r="BG20" s="19"/>
      <c r="BH20" s="20"/>
      <c r="BI20" s="21"/>
      <c r="BJ20" s="978"/>
      <c r="BK20" s="205"/>
      <c r="BL20" s="206"/>
      <c r="BM20" s="978"/>
      <c r="BN20" s="205"/>
      <c r="BO20" s="206"/>
      <c r="BP20" s="197"/>
      <c r="BQ20" s="198"/>
      <c r="BR20" s="577"/>
      <c r="BS20" s="207">
        <f t="shared" si="0"/>
        <v>13561</v>
      </c>
      <c r="BT20" s="198">
        <f t="shared" si="1"/>
        <v>12536</v>
      </c>
      <c r="BU20" s="199">
        <f t="shared" si="1"/>
        <v>1025</v>
      </c>
      <c r="BV20" s="197"/>
      <c r="BW20" s="198"/>
      <c r="BX20" s="206"/>
      <c r="BY20" s="207">
        <f t="shared" si="2"/>
        <v>13561</v>
      </c>
      <c r="BZ20" s="198">
        <f t="shared" si="3"/>
        <v>12536</v>
      </c>
      <c r="CA20" s="199">
        <f t="shared" si="3"/>
        <v>1025</v>
      </c>
    </row>
    <row r="21" spans="1:79" s="1321" customFormat="1" ht="18">
      <c r="A21" s="1316" t="s">
        <v>54</v>
      </c>
      <c r="B21" s="1317">
        <f>SUM(B5:B20)</f>
        <v>3948320</v>
      </c>
      <c r="C21" s="1317">
        <f aca="true" t="shared" si="4" ref="C21:J21">SUM(C5:C20)</f>
        <v>3062434</v>
      </c>
      <c r="D21" s="1317">
        <f t="shared" si="4"/>
        <v>885886</v>
      </c>
      <c r="E21" s="1317">
        <f t="shared" si="4"/>
        <v>1841250</v>
      </c>
      <c r="F21" s="1317">
        <f t="shared" si="4"/>
        <v>1164687</v>
      </c>
      <c r="G21" s="1317">
        <f t="shared" si="4"/>
        <v>676563</v>
      </c>
      <c r="H21" s="1317">
        <f t="shared" si="4"/>
        <v>0</v>
      </c>
      <c r="I21" s="1317">
        <f t="shared" si="4"/>
        <v>0</v>
      </c>
      <c r="J21" s="1317">
        <f t="shared" si="4"/>
        <v>0</v>
      </c>
      <c r="K21" s="1317">
        <f aca="true" t="shared" si="5" ref="K21:AP21">SUM(K5:K20)</f>
        <v>5382367</v>
      </c>
      <c r="L21" s="1317">
        <f t="shared" si="5"/>
        <v>2208846</v>
      </c>
      <c r="M21" s="1317">
        <f t="shared" si="5"/>
        <v>3173521</v>
      </c>
      <c r="N21" s="1317">
        <f t="shared" si="5"/>
        <v>1041271</v>
      </c>
      <c r="O21" s="1317">
        <f t="shared" si="5"/>
        <v>827158</v>
      </c>
      <c r="P21" s="1317">
        <f t="shared" si="5"/>
        <v>214112</v>
      </c>
      <c r="Q21" s="1317">
        <f t="shared" si="5"/>
        <v>1677968</v>
      </c>
      <c r="R21" s="1317">
        <f t="shared" si="5"/>
        <v>1358016</v>
      </c>
      <c r="S21" s="1317">
        <f t="shared" si="5"/>
        <v>319952</v>
      </c>
      <c r="T21" s="1317">
        <f t="shared" si="5"/>
        <v>1012208</v>
      </c>
      <c r="U21" s="1317">
        <f t="shared" si="5"/>
        <v>898015</v>
      </c>
      <c r="V21" s="1317">
        <f t="shared" si="5"/>
        <v>380109</v>
      </c>
      <c r="W21" s="1317">
        <f t="shared" si="5"/>
        <v>1972221</v>
      </c>
      <c r="X21" s="1317">
        <f t="shared" si="5"/>
        <v>962687</v>
      </c>
      <c r="Y21" s="1317">
        <f t="shared" si="5"/>
        <v>1009535</v>
      </c>
      <c r="Z21" s="1317">
        <f t="shared" si="5"/>
        <v>1923395</v>
      </c>
      <c r="AA21" s="1317">
        <f t="shared" si="5"/>
        <v>1563286</v>
      </c>
      <c r="AB21" s="1317">
        <f t="shared" si="5"/>
        <v>360110</v>
      </c>
      <c r="AC21" s="1317">
        <f t="shared" si="5"/>
        <v>1483673</v>
      </c>
      <c r="AD21" s="1317">
        <f t="shared" si="5"/>
        <v>827572</v>
      </c>
      <c r="AE21" s="1317">
        <f t="shared" si="5"/>
        <v>656101</v>
      </c>
      <c r="AF21" s="1317">
        <f t="shared" si="5"/>
        <v>7666247</v>
      </c>
      <c r="AG21" s="1317">
        <f t="shared" si="5"/>
        <v>4449121</v>
      </c>
      <c r="AH21" s="1317">
        <f t="shared" si="5"/>
        <v>3217126</v>
      </c>
      <c r="AI21" s="1317">
        <f t="shared" si="5"/>
        <v>8590732</v>
      </c>
      <c r="AJ21" s="1317">
        <f t="shared" si="5"/>
        <v>4017366</v>
      </c>
      <c r="AK21" s="1317">
        <f t="shared" si="5"/>
        <v>4573366</v>
      </c>
      <c r="AL21" s="1317">
        <f t="shared" si="5"/>
        <v>2201030</v>
      </c>
      <c r="AM21" s="1317">
        <f t="shared" si="5"/>
        <v>861114</v>
      </c>
      <c r="AN21" s="1317">
        <f t="shared" si="5"/>
        <v>1339916</v>
      </c>
      <c r="AO21" s="1317">
        <f t="shared" si="5"/>
        <v>1255878.29</v>
      </c>
      <c r="AP21" s="1317">
        <f t="shared" si="5"/>
        <v>856765.84</v>
      </c>
      <c r="AQ21" s="1317">
        <f aca="true" t="shared" si="6" ref="AQ21:BV21">SUM(AQ5:AQ20)</f>
        <v>399112.44999999995</v>
      </c>
      <c r="AR21" s="1317">
        <f t="shared" si="6"/>
        <v>3533196</v>
      </c>
      <c r="AS21" s="1317">
        <f t="shared" si="6"/>
        <v>2828756</v>
      </c>
      <c r="AT21" s="1317">
        <f t="shared" si="6"/>
        <v>704440</v>
      </c>
      <c r="AU21" s="1317">
        <f t="shared" si="6"/>
        <v>8681522</v>
      </c>
      <c r="AV21" s="1317">
        <f t="shared" si="6"/>
        <v>6614297</v>
      </c>
      <c r="AW21" s="1317">
        <f t="shared" si="6"/>
        <v>2067226</v>
      </c>
      <c r="AX21" s="1317">
        <f t="shared" si="6"/>
        <v>3198753</v>
      </c>
      <c r="AY21" s="1317">
        <f t="shared" si="6"/>
        <v>2114738</v>
      </c>
      <c r="AZ21" s="1317">
        <f t="shared" si="6"/>
        <v>1084015</v>
      </c>
      <c r="BA21" s="1317">
        <f t="shared" si="6"/>
        <v>1250457</v>
      </c>
      <c r="BB21" s="1317">
        <f t="shared" si="6"/>
        <v>1503218</v>
      </c>
      <c r="BC21" s="1317">
        <f t="shared" si="6"/>
        <v>453649</v>
      </c>
      <c r="BD21" s="1317">
        <f t="shared" si="6"/>
        <v>0</v>
      </c>
      <c r="BE21" s="1317">
        <f t="shared" si="6"/>
        <v>0</v>
      </c>
      <c r="BF21" s="1317">
        <f t="shared" si="6"/>
        <v>0</v>
      </c>
      <c r="BG21" s="1318">
        <f t="shared" si="6"/>
        <v>10942608</v>
      </c>
      <c r="BH21" s="1318">
        <f t="shared" si="6"/>
        <v>5262666</v>
      </c>
      <c r="BI21" s="1318">
        <f t="shared" si="6"/>
        <v>5679942</v>
      </c>
      <c r="BJ21" s="1317">
        <f t="shared" si="6"/>
        <v>1282247</v>
      </c>
      <c r="BK21" s="1317">
        <f t="shared" si="6"/>
        <v>665758</v>
      </c>
      <c r="BL21" s="1317">
        <f t="shared" si="6"/>
        <v>616487</v>
      </c>
      <c r="BM21" s="1317">
        <f t="shared" si="6"/>
        <v>1236870</v>
      </c>
      <c r="BN21" s="1317">
        <f t="shared" si="6"/>
        <v>1039582</v>
      </c>
      <c r="BO21" s="1317">
        <f t="shared" si="6"/>
        <v>197288</v>
      </c>
      <c r="BP21" s="1317">
        <f t="shared" si="6"/>
        <v>5284036</v>
      </c>
      <c r="BQ21" s="1317">
        <f t="shared" si="6"/>
        <v>3371824</v>
      </c>
      <c r="BR21" s="1319">
        <f t="shared" si="6"/>
        <v>1912212</v>
      </c>
      <c r="BS21" s="1317">
        <f t="shared" si="6"/>
        <v>75406249.28999999</v>
      </c>
      <c r="BT21" s="1317">
        <f t="shared" si="6"/>
        <v>46457906.84</v>
      </c>
      <c r="BU21" s="1320">
        <f t="shared" si="6"/>
        <v>29920668.450000003</v>
      </c>
      <c r="BV21" s="1317">
        <f t="shared" si="6"/>
        <v>0</v>
      </c>
      <c r="BW21" s="1317">
        <f>SUM(BW5:BW20)</f>
        <v>0</v>
      </c>
      <c r="BX21" s="1317">
        <f>SUM(BX5:BX20)</f>
        <v>0</v>
      </c>
      <c r="BY21" s="1317">
        <f>SUM(BY5:BY20)</f>
        <v>75406249.28999999</v>
      </c>
      <c r="BZ21" s="1317">
        <f>SUM(BZ5:BZ20)</f>
        <v>46457906.84</v>
      </c>
      <c r="CA21" s="1317">
        <f>SUM(CA5:CA20)</f>
        <v>29920668.450000003</v>
      </c>
    </row>
    <row r="22" spans="1:79" ht="16.5">
      <c r="A22" s="493" t="s">
        <v>275</v>
      </c>
      <c r="B22" s="979"/>
      <c r="C22" s="219"/>
      <c r="D22" s="220">
        <v>73935</v>
      </c>
      <c r="E22" s="218">
        <v>106976</v>
      </c>
      <c r="F22" s="219"/>
      <c r="G22" s="220">
        <v>106976</v>
      </c>
      <c r="H22" s="218"/>
      <c r="I22" s="219"/>
      <c r="J22" s="220"/>
      <c r="K22" s="218">
        <v>244846</v>
      </c>
      <c r="L22" s="219"/>
      <c r="M22" s="203">
        <v>244846</v>
      </c>
      <c r="N22" s="218"/>
      <c r="O22" s="219"/>
      <c r="P22" s="220">
        <v>12590</v>
      </c>
      <c r="Q22" s="218">
        <v>40855</v>
      </c>
      <c r="R22" s="219"/>
      <c r="S22" s="220">
        <v>40855</v>
      </c>
      <c r="T22" s="979"/>
      <c r="U22" s="219"/>
      <c r="V22" s="220">
        <v>1364</v>
      </c>
      <c r="W22" s="218">
        <v>69019</v>
      </c>
      <c r="X22" s="219"/>
      <c r="Y22" s="220">
        <v>69019</v>
      </c>
      <c r="Z22" s="218"/>
      <c r="AA22" s="219"/>
      <c r="AB22" s="220">
        <v>17408</v>
      </c>
      <c r="AC22" s="218"/>
      <c r="AD22" s="219"/>
      <c r="AE22" s="220">
        <v>61809</v>
      </c>
      <c r="AF22" s="218">
        <v>84125</v>
      </c>
      <c r="AG22" s="219"/>
      <c r="AH22" s="220">
        <v>84125</v>
      </c>
      <c r="AI22" s="218"/>
      <c r="AJ22" s="219"/>
      <c r="AK22" s="220">
        <v>204191</v>
      </c>
      <c r="AL22" s="218"/>
      <c r="AM22" s="219"/>
      <c r="AN22" s="220"/>
      <c r="AO22" s="218">
        <v>26422.45</v>
      </c>
      <c r="AP22" s="219"/>
      <c r="AQ22" s="220">
        <v>26422.45</v>
      </c>
      <c r="AR22" s="218"/>
      <c r="AS22" s="219"/>
      <c r="AT22" s="220">
        <v>134285</v>
      </c>
      <c r="AU22" s="218"/>
      <c r="AV22" s="219"/>
      <c r="AW22" s="220">
        <v>119825</v>
      </c>
      <c r="AX22" s="218">
        <v>61159</v>
      </c>
      <c r="AY22" s="219"/>
      <c r="AZ22" s="220">
        <v>61159</v>
      </c>
      <c r="BA22" s="218"/>
      <c r="BB22" s="219"/>
      <c r="BC22" s="220">
        <v>71667</v>
      </c>
      <c r="BD22" s="218"/>
      <c r="BE22" s="219"/>
      <c r="BF22" s="220"/>
      <c r="BG22" s="19">
        <v>131905</v>
      </c>
      <c r="BH22" s="37"/>
      <c r="BI22" s="21">
        <v>131905</v>
      </c>
      <c r="BJ22" s="218">
        <v>68907</v>
      </c>
      <c r="BK22" s="219"/>
      <c r="BL22" s="220">
        <v>68907</v>
      </c>
      <c r="BM22" s="218">
        <f>23358+13237</f>
        <v>36595</v>
      </c>
      <c r="BN22" s="219"/>
      <c r="BO22" s="206">
        <f>23358+13237</f>
        <v>36595</v>
      </c>
      <c r="BP22" s="218"/>
      <c r="BQ22" s="219"/>
      <c r="BR22" s="1118">
        <v>36895</v>
      </c>
      <c r="BS22" s="207">
        <f aca="true" t="shared" si="7" ref="BS22:BU23">B22+E22+H22+K22+N22+Q22+T22+W22+Z22+AC22+AF22+AI22+AL22+AO22+AR22+AU22+AX22+BA22+BD22+BG22+BJ22+BM22+BP22</f>
        <v>870809.45</v>
      </c>
      <c r="BT22" s="198">
        <f t="shared" si="7"/>
        <v>0</v>
      </c>
      <c r="BU22" s="199">
        <f t="shared" si="7"/>
        <v>1604778.45</v>
      </c>
      <c r="BV22" s="218"/>
      <c r="BW22" s="219"/>
      <c r="BX22" s="220"/>
      <c r="BY22" s="207">
        <f aca="true" t="shared" si="8" ref="BY22:CA23">BS22+BV22</f>
        <v>870809.45</v>
      </c>
      <c r="BZ22" s="198">
        <f t="shared" si="8"/>
        <v>0</v>
      </c>
      <c r="CA22" s="199">
        <f t="shared" si="8"/>
        <v>1604778.45</v>
      </c>
    </row>
    <row r="23" spans="1:79" s="917" customFormat="1" ht="17.25">
      <c r="A23" s="986" t="s">
        <v>2</v>
      </c>
      <c r="B23" s="987">
        <f aca="true" t="shared" si="9" ref="B23:H23">B21+B22</f>
        <v>3948320</v>
      </c>
      <c r="C23" s="988">
        <f t="shared" si="9"/>
        <v>3062434</v>
      </c>
      <c r="D23" s="989">
        <f t="shared" si="9"/>
        <v>959821</v>
      </c>
      <c r="E23" s="990">
        <f t="shared" si="9"/>
        <v>1948226</v>
      </c>
      <c r="F23" s="988">
        <f t="shared" si="9"/>
        <v>1164687</v>
      </c>
      <c r="G23" s="989">
        <f t="shared" si="9"/>
        <v>783539</v>
      </c>
      <c r="H23" s="990">
        <f t="shared" si="9"/>
        <v>0</v>
      </c>
      <c r="I23" s="988">
        <f aca="true" t="shared" si="10" ref="I23:BI23">I21+I22</f>
        <v>0</v>
      </c>
      <c r="J23" s="989">
        <f t="shared" si="10"/>
        <v>0</v>
      </c>
      <c r="K23" s="990">
        <f t="shared" si="10"/>
        <v>5627213</v>
      </c>
      <c r="L23" s="988">
        <f t="shared" si="10"/>
        <v>2208846</v>
      </c>
      <c r="M23" s="989">
        <f t="shared" si="10"/>
        <v>3418367</v>
      </c>
      <c r="N23" s="990">
        <f t="shared" si="10"/>
        <v>1041271</v>
      </c>
      <c r="O23" s="988">
        <f t="shared" si="10"/>
        <v>827158</v>
      </c>
      <c r="P23" s="989">
        <f t="shared" si="10"/>
        <v>226702</v>
      </c>
      <c r="Q23" s="990">
        <f t="shared" si="10"/>
        <v>1718823</v>
      </c>
      <c r="R23" s="988">
        <f t="shared" si="10"/>
        <v>1358016</v>
      </c>
      <c r="S23" s="989">
        <f t="shared" si="10"/>
        <v>360807</v>
      </c>
      <c r="T23" s="987">
        <f t="shared" si="10"/>
        <v>1012208</v>
      </c>
      <c r="U23" s="988">
        <f t="shared" si="10"/>
        <v>898015</v>
      </c>
      <c r="V23" s="989">
        <f t="shared" si="10"/>
        <v>381473</v>
      </c>
      <c r="W23" s="990">
        <f t="shared" si="10"/>
        <v>2041240</v>
      </c>
      <c r="X23" s="988">
        <f t="shared" si="10"/>
        <v>962687</v>
      </c>
      <c r="Y23" s="989">
        <f t="shared" si="10"/>
        <v>1078554</v>
      </c>
      <c r="Z23" s="990">
        <f t="shared" si="10"/>
        <v>1923395</v>
      </c>
      <c r="AA23" s="988">
        <f t="shared" si="10"/>
        <v>1563286</v>
      </c>
      <c r="AB23" s="989">
        <f t="shared" si="10"/>
        <v>377518</v>
      </c>
      <c r="AC23" s="990">
        <f t="shared" si="10"/>
        <v>1483673</v>
      </c>
      <c r="AD23" s="988">
        <f t="shared" si="10"/>
        <v>827572</v>
      </c>
      <c r="AE23" s="989">
        <f t="shared" si="10"/>
        <v>717910</v>
      </c>
      <c r="AF23" s="990">
        <f t="shared" si="10"/>
        <v>7750372</v>
      </c>
      <c r="AG23" s="988">
        <f t="shared" si="10"/>
        <v>4449121</v>
      </c>
      <c r="AH23" s="989">
        <f t="shared" si="10"/>
        <v>3301251</v>
      </c>
      <c r="AI23" s="990">
        <f t="shared" si="10"/>
        <v>8590732</v>
      </c>
      <c r="AJ23" s="988">
        <f t="shared" si="10"/>
        <v>4017366</v>
      </c>
      <c r="AK23" s="989">
        <f t="shared" si="10"/>
        <v>4777557</v>
      </c>
      <c r="AL23" s="990">
        <f t="shared" si="10"/>
        <v>2201030</v>
      </c>
      <c r="AM23" s="988">
        <f t="shared" si="10"/>
        <v>861114</v>
      </c>
      <c r="AN23" s="989">
        <f t="shared" si="10"/>
        <v>1339916</v>
      </c>
      <c r="AO23" s="990">
        <f t="shared" si="10"/>
        <v>1282300.74</v>
      </c>
      <c r="AP23" s="988">
        <f t="shared" si="10"/>
        <v>856765.84</v>
      </c>
      <c r="AQ23" s="989">
        <f t="shared" si="10"/>
        <v>425534.89999999997</v>
      </c>
      <c r="AR23" s="990">
        <f t="shared" si="10"/>
        <v>3533196</v>
      </c>
      <c r="AS23" s="988">
        <f t="shared" si="10"/>
        <v>2828756</v>
      </c>
      <c r="AT23" s="989">
        <f t="shared" si="10"/>
        <v>838725</v>
      </c>
      <c r="AU23" s="990">
        <f t="shared" si="10"/>
        <v>8681522</v>
      </c>
      <c r="AV23" s="988">
        <f t="shared" si="10"/>
        <v>6614297</v>
      </c>
      <c r="AW23" s="989">
        <f t="shared" si="10"/>
        <v>2187051</v>
      </c>
      <c r="AX23" s="990">
        <f t="shared" si="10"/>
        <v>3259912</v>
      </c>
      <c r="AY23" s="988">
        <f t="shared" si="10"/>
        <v>2114738</v>
      </c>
      <c r="AZ23" s="989">
        <f>AZ21+AZ22</f>
        <v>1145174</v>
      </c>
      <c r="BA23" s="990">
        <f>BA21+BA22</f>
        <v>1250457</v>
      </c>
      <c r="BB23" s="988">
        <f t="shared" si="10"/>
        <v>1503218</v>
      </c>
      <c r="BC23" s="989">
        <f t="shared" si="10"/>
        <v>525316</v>
      </c>
      <c r="BD23" s="990">
        <f t="shared" si="10"/>
        <v>0</v>
      </c>
      <c r="BE23" s="988">
        <f t="shared" si="10"/>
        <v>0</v>
      </c>
      <c r="BF23" s="989">
        <f t="shared" si="10"/>
        <v>0</v>
      </c>
      <c r="BG23" s="1111">
        <f t="shared" si="10"/>
        <v>11074513</v>
      </c>
      <c r="BH23" s="1111">
        <f t="shared" si="10"/>
        <v>5262666</v>
      </c>
      <c r="BI23" s="1111">
        <f t="shared" si="10"/>
        <v>5811847</v>
      </c>
      <c r="BJ23" s="990">
        <f>BJ21+BJ22</f>
        <v>1351154</v>
      </c>
      <c r="BK23" s="988">
        <f>BK21+BK22</f>
        <v>665758</v>
      </c>
      <c r="BL23" s="989">
        <f aca="true" t="shared" si="11" ref="BL23:BR23">BL21+BL22</f>
        <v>685394</v>
      </c>
      <c r="BM23" s="990">
        <f t="shared" si="11"/>
        <v>1273465</v>
      </c>
      <c r="BN23" s="988">
        <f t="shared" si="11"/>
        <v>1039582</v>
      </c>
      <c r="BO23" s="989">
        <f t="shared" si="11"/>
        <v>233883</v>
      </c>
      <c r="BP23" s="990">
        <f t="shared" si="11"/>
        <v>5284036</v>
      </c>
      <c r="BQ23" s="988">
        <f t="shared" si="11"/>
        <v>3371824</v>
      </c>
      <c r="BR23" s="1119">
        <f t="shared" si="11"/>
        <v>1949107</v>
      </c>
      <c r="BS23" s="993">
        <f t="shared" si="7"/>
        <v>76277058.74000001</v>
      </c>
      <c r="BT23" s="991">
        <f t="shared" si="7"/>
        <v>46457906.84</v>
      </c>
      <c r="BU23" s="992">
        <f t="shared" si="7"/>
        <v>31525446.9</v>
      </c>
      <c r="BV23" s="990">
        <f>BV21+BV22</f>
        <v>0</v>
      </c>
      <c r="BW23" s="988">
        <f>BW21+BW22</f>
        <v>0</v>
      </c>
      <c r="BX23" s="989">
        <f>BX21+BX22</f>
        <v>0</v>
      </c>
      <c r="BY23" s="993">
        <f t="shared" si="8"/>
        <v>76277058.74000001</v>
      </c>
      <c r="BZ23" s="991">
        <f t="shared" si="8"/>
        <v>46457906.84</v>
      </c>
      <c r="CA23" s="992">
        <f t="shared" si="8"/>
        <v>31525446.9</v>
      </c>
    </row>
    <row r="24" spans="1:79" ht="17.25">
      <c r="A24" s="494" t="s">
        <v>300</v>
      </c>
      <c r="B24" s="979">
        <v>3745124</v>
      </c>
      <c r="C24" s="219">
        <v>2920035</v>
      </c>
      <c r="D24" s="220">
        <v>907367</v>
      </c>
      <c r="E24" s="218">
        <v>1276766</v>
      </c>
      <c r="F24" s="219">
        <v>1000652</v>
      </c>
      <c r="G24" s="220"/>
      <c r="H24" s="218"/>
      <c r="I24" s="219"/>
      <c r="J24" s="220"/>
      <c r="K24" s="218">
        <v>4382032</v>
      </c>
      <c r="L24" s="219">
        <v>1878710</v>
      </c>
      <c r="M24" s="980">
        <v>2503322</v>
      </c>
      <c r="N24" s="218">
        <v>961203</v>
      </c>
      <c r="O24" s="219">
        <v>733514</v>
      </c>
      <c r="P24" s="220"/>
      <c r="Q24" s="218">
        <v>4135516</v>
      </c>
      <c r="R24" s="219">
        <v>1290997</v>
      </c>
      <c r="S24" s="220">
        <v>144519</v>
      </c>
      <c r="T24" s="979">
        <v>1178670</v>
      </c>
      <c r="U24" s="219">
        <v>712482</v>
      </c>
      <c r="V24" s="220">
        <v>516451</v>
      </c>
      <c r="W24" s="218">
        <v>1718798</v>
      </c>
      <c r="X24" s="219">
        <v>736352</v>
      </c>
      <c r="Y24" s="220">
        <v>982444</v>
      </c>
      <c r="Z24" s="218">
        <v>1785465</v>
      </c>
      <c r="AA24" s="219">
        <v>1416926</v>
      </c>
      <c r="AB24" s="220">
        <v>381930</v>
      </c>
      <c r="AC24" s="218">
        <v>1223297</v>
      </c>
      <c r="AD24" s="219">
        <v>682859</v>
      </c>
      <c r="AE24" s="220">
        <v>608331</v>
      </c>
      <c r="AF24" s="218">
        <v>7422201</v>
      </c>
      <c r="AG24" s="219">
        <v>4089227</v>
      </c>
      <c r="AH24" s="220">
        <v>3332974</v>
      </c>
      <c r="AI24" s="218">
        <v>8164468</v>
      </c>
      <c r="AJ24" s="219">
        <v>3536859</v>
      </c>
      <c r="AK24" s="220"/>
      <c r="AL24" s="218">
        <v>2152653</v>
      </c>
      <c r="AM24" s="219">
        <v>777805</v>
      </c>
      <c r="AN24" s="220">
        <v>1374848</v>
      </c>
      <c r="AO24" s="218">
        <v>1131722.36</v>
      </c>
      <c r="AP24" s="219">
        <v>848142.8</v>
      </c>
      <c r="AQ24" s="220"/>
      <c r="AR24" s="218">
        <v>3273185</v>
      </c>
      <c r="AS24" s="219">
        <v>2559542</v>
      </c>
      <c r="AT24" s="220">
        <v>751124</v>
      </c>
      <c r="AU24" s="218">
        <v>7472580</v>
      </c>
      <c r="AV24" s="219">
        <v>5806614</v>
      </c>
      <c r="AW24" s="220">
        <v>1921182</v>
      </c>
      <c r="AX24" s="218">
        <v>2564087</v>
      </c>
      <c r="AY24" s="219">
        <v>1826061</v>
      </c>
      <c r="AZ24" s="220">
        <v>966341</v>
      </c>
      <c r="BA24" s="218">
        <v>1088439</v>
      </c>
      <c r="BB24" s="219">
        <v>1250457</v>
      </c>
      <c r="BC24" s="220">
        <v>418559</v>
      </c>
      <c r="BD24" s="218"/>
      <c r="BE24" s="219"/>
      <c r="BF24" s="220"/>
      <c r="BG24" s="1112">
        <v>10347459</v>
      </c>
      <c r="BH24" s="1113">
        <v>4395227</v>
      </c>
      <c r="BI24" s="1114">
        <v>5952233</v>
      </c>
      <c r="BJ24" s="218">
        <v>1169713</v>
      </c>
      <c r="BK24" s="219">
        <v>528816</v>
      </c>
      <c r="BL24" s="220">
        <v>640897</v>
      </c>
      <c r="BM24" s="218">
        <v>1157532</v>
      </c>
      <c r="BN24" s="219">
        <v>985674</v>
      </c>
      <c r="BO24" s="220">
        <v>171858</v>
      </c>
      <c r="BP24" s="218">
        <v>5083148</v>
      </c>
      <c r="BQ24" s="219">
        <v>3152999</v>
      </c>
      <c r="BR24" s="1118">
        <v>1971193</v>
      </c>
      <c r="BS24" s="217"/>
      <c r="BT24" s="213"/>
      <c r="BU24" s="214"/>
      <c r="BV24" s="218"/>
      <c r="BW24" s="219"/>
      <c r="BX24" s="220"/>
      <c r="BY24" s="217"/>
      <c r="BZ24" s="213"/>
      <c r="CA24" s="214"/>
    </row>
    <row r="25" spans="1:79" ht="17.25" thickBot="1">
      <c r="A25" s="495" t="s">
        <v>276</v>
      </c>
      <c r="B25" s="981"/>
      <c r="C25" s="982"/>
      <c r="D25" s="983"/>
      <c r="E25" s="984"/>
      <c r="F25" s="982"/>
      <c r="G25" s="983"/>
      <c r="H25" s="984"/>
      <c r="I25" s="982"/>
      <c r="J25" s="983"/>
      <c r="K25" s="984"/>
      <c r="L25" s="982"/>
      <c r="M25" s="985"/>
      <c r="N25" s="984"/>
      <c r="O25" s="982"/>
      <c r="P25" s="983"/>
      <c r="Q25" s="984"/>
      <c r="R25" s="982"/>
      <c r="S25" s="983"/>
      <c r="T25" s="981"/>
      <c r="U25" s="982"/>
      <c r="V25" s="983"/>
      <c r="W25" s="984"/>
      <c r="X25" s="982"/>
      <c r="Y25" s="983"/>
      <c r="Z25" s="984"/>
      <c r="AA25" s="982"/>
      <c r="AB25" s="983"/>
      <c r="AC25" s="984"/>
      <c r="AD25" s="982"/>
      <c r="AE25" s="983"/>
      <c r="AF25" s="984"/>
      <c r="AG25" s="982"/>
      <c r="AH25" s="983"/>
      <c r="AI25" s="984"/>
      <c r="AJ25" s="982"/>
      <c r="AK25" s="983"/>
      <c r="AL25" s="984"/>
      <c r="AM25" s="982"/>
      <c r="AN25" s="983"/>
      <c r="AO25" s="984"/>
      <c r="AP25" s="982"/>
      <c r="AQ25" s="983"/>
      <c r="AR25" s="984"/>
      <c r="AS25" s="982"/>
      <c r="AT25" s="983"/>
      <c r="AU25" s="984"/>
      <c r="AV25" s="982"/>
      <c r="AW25" s="983"/>
      <c r="AX25" s="984"/>
      <c r="AY25" s="982"/>
      <c r="AZ25" s="983"/>
      <c r="BA25" s="984"/>
      <c r="BB25" s="982"/>
      <c r="BC25" s="983"/>
      <c r="BD25" s="984"/>
      <c r="BE25" s="982"/>
      <c r="BF25" s="983"/>
      <c r="BG25" s="1115"/>
      <c r="BH25" s="257"/>
      <c r="BI25" s="258"/>
      <c r="BJ25" s="984"/>
      <c r="BK25" s="982"/>
      <c r="BL25" s="983"/>
      <c r="BM25" s="984"/>
      <c r="BN25" s="982"/>
      <c r="BO25" s="983"/>
      <c r="BP25" s="984"/>
      <c r="BQ25" s="982"/>
      <c r="BR25" s="1120"/>
      <c r="BS25" s="981"/>
      <c r="BT25" s="982"/>
      <c r="BU25" s="983"/>
      <c r="BV25" s="984"/>
      <c r="BW25" s="982"/>
      <c r="BX25" s="983"/>
      <c r="BY25" s="981"/>
      <c r="BZ25" s="982"/>
      <c r="CA25" s="983"/>
    </row>
  </sheetData>
  <sheetProtection/>
  <mergeCells count="28">
    <mergeCell ref="AL3:AN3"/>
    <mergeCell ref="AO3:AQ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BJ3:BL3"/>
    <mergeCell ref="A1:BZ1"/>
    <mergeCell ref="A2:BZ2"/>
    <mergeCell ref="B3:D3"/>
    <mergeCell ref="E3:G3"/>
    <mergeCell ref="H3:J3"/>
    <mergeCell ref="K3:M3"/>
    <mergeCell ref="N3:P3"/>
    <mergeCell ref="Q3:S3"/>
    <mergeCell ref="T3:V3"/>
    <mergeCell ref="BM3:BO3"/>
    <mergeCell ref="BP3:BR3"/>
    <mergeCell ref="W3:Y3"/>
    <mergeCell ref="Z3:AB3"/>
    <mergeCell ref="AC3:AE3"/>
    <mergeCell ref="AF3:AH3"/>
    <mergeCell ref="AI3:AK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68.00390625" style="118" bestFit="1" customWidth="1"/>
    <col min="2" max="27" width="19.8515625" style="118" bestFit="1" customWidth="1"/>
    <col min="28" max="16384" width="9.140625" style="118" customWidth="1"/>
  </cols>
  <sheetData>
    <row r="1" spans="1:27" ht="62.25" customHeight="1" thickBot="1">
      <c r="A1" s="1005" t="s">
        <v>320</v>
      </c>
      <c r="B1" s="1004" t="s">
        <v>184</v>
      </c>
      <c r="C1" s="1187" t="s">
        <v>185</v>
      </c>
      <c r="D1" s="1001" t="s">
        <v>186</v>
      </c>
      <c r="E1" s="1187" t="s">
        <v>187</v>
      </c>
      <c r="F1" s="1001" t="s">
        <v>188</v>
      </c>
      <c r="G1" s="1186" t="s">
        <v>189</v>
      </c>
      <c r="H1" s="997" t="s">
        <v>527</v>
      </c>
      <c r="I1" s="1003" t="s">
        <v>190</v>
      </c>
      <c r="J1" s="997" t="s">
        <v>191</v>
      </c>
      <c r="K1" s="1003" t="s">
        <v>192</v>
      </c>
      <c r="L1" s="997" t="s">
        <v>193</v>
      </c>
      <c r="M1" s="1003" t="s">
        <v>194</v>
      </c>
      <c r="N1" s="997" t="s">
        <v>195</v>
      </c>
      <c r="O1" s="1001" t="s">
        <v>196</v>
      </c>
      <c r="P1" s="1002" t="s">
        <v>197</v>
      </c>
      <c r="Q1" s="1001" t="s">
        <v>198</v>
      </c>
      <c r="R1" s="997" t="s">
        <v>199</v>
      </c>
      <c r="S1" s="1001" t="s">
        <v>200</v>
      </c>
      <c r="T1" s="1002" t="s">
        <v>201</v>
      </c>
      <c r="U1" s="1001" t="s">
        <v>202</v>
      </c>
      <c r="V1" s="997" t="s">
        <v>203</v>
      </c>
      <c r="W1" s="1001" t="s">
        <v>204</v>
      </c>
      <c r="X1" s="997" t="s">
        <v>205</v>
      </c>
      <c r="Y1" s="996" t="s">
        <v>1</v>
      </c>
      <c r="Z1" s="621" t="s">
        <v>206</v>
      </c>
      <c r="AA1" s="622" t="s">
        <v>2</v>
      </c>
    </row>
    <row r="2" spans="1:27" s="818" customFormat="1" ht="15" thickBot="1">
      <c r="A2" s="874" t="s">
        <v>0</v>
      </c>
      <c r="B2" s="850" t="s">
        <v>448</v>
      </c>
      <c r="C2" s="875" t="s">
        <v>448</v>
      </c>
      <c r="D2" s="850" t="s">
        <v>448</v>
      </c>
      <c r="E2" s="875" t="s">
        <v>448</v>
      </c>
      <c r="F2" s="850" t="s">
        <v>448</v>
      </c>
      <c r="G2" s="850" t="s">
        <v>448</v>
      </c>
      <c r="H2" s="875" t="s">
        <v>448</v>
      </c>
      <c r="I2" s="850" t="s">
        <v>448</v>
      </c>
      <c r="J2" s="875" t="s">
        <v>448</v>
      </c>
      <c r="K2" s="850" t="s">
        <v>448</v>
      </c>
      <c r="L2" s="850" t="s">
        <v>448</v>
      </c>
      <c r="M2" s="875" t="s">
        <v>448</v>
      </c>
      <c r="N2" s="850" t="s">
        <v>448</v>
      </c>
      <c r="O2" s="875" t="s">
        <v>448</v>
      </c>
      <c r="P2" s="850" t="s">
        <v>448</v>
      </c>
      <c r="Q2" s="850" t="s">
        <v>448</v>
      </c>
      <c r="R2" s="875" t="s">
        <v>448</v>
      </c>
      <c r="S2" s="850" t="s">
        <v>448</v>
      </c>
      <c r="T2" s="875" t="s">
        <v>448</v>
      </c>
      <c r="U2" s="850" t="s">
        <v>448</v>
      </c>
      <c r="V2" s="850" t="s">
        <v>448</v>
      </c>
      <c r="W2" s="875" t="s">
        <v>448</v>
      </c>
      <c r="X2" s="850" t="s">
        <v>448</v>
      </c>
      <c r="Y2" s="875" t="s">
        <v>448</v>
      </c>
      <c r="Z2" s="850" t="s">
        <v>448</v>
      </c>
      <c r="AA2" s="850" t="s">
        <v>448</v>
      </c>
    </row>
    <row r="3" spans="1:27" ht="14.25">
      <c r="A3" s="619" t="s">
        <v>301</v>
      </c>
      <c r="B3" s="640">
        <v>126021</v>
      </c>
      <c r="C3" s="641">
        <v>54510</v>
      </c>
      <c r="D3" s="641"/>
      <c r="E3" s="641">
        <v>650578</v>
      </c>
      <c r="F3" s="641">
        <v>82516</v>
      </c>
      <c r="G3" s="641">
        <v>10105</v>
      </c>
      <c r="H3" s="641">
        <v>24007</v>
      </c>
      <c r="I3" s="641">
        <v>61344</v>
      </c>
      <c r="J3" s="641">
        <v>121848</v>
      </c>
      <c r="K3" s="641">
        <v>191644</v>
      </c>
      <c r="L3" s="641">
        <v>14140</v>
      </c>
      <c r="M3" s="641">
        <v>123157</v>
      </c>
      <c r="N3" s="641">
        <v>3453</v>
      </c>
      <c r="O3" s="642">
        <v>26866.97</v>
      </c>
      <c r="P3" s="998">
        <v>162766</v>
      </c>
      <c r="Q3" s="642">
        <v>448960</v>
      </c>
      <c r="R3" s="998">
        <v>368525</v>
      </c>
      <c r="S3" s="642">
        <v>485113</v>
      </c>
      <c r="T3" s="998"/>
      <c r="U3" s="642">
        <v>172334</v>
      </c>
      <c r="V3" s="998">
        <v>51249</v>
      </c>
      <c r="W3" s="642">
        <v>16159</v>
      </c>
      <c r="X3" s="998">
        <v>363255</v>
      </c>
      <c r="Y3" s="994">
        <f>SUM(B3:X3)</f>
        <v>3558550.9699999997</v>
      </c>
      <c r="Z3" s="642"/>
      <c r="AA3" s="994">
        <f>Y3+Z3</f>
        <v>3558550.9699999997</v>
      </c>
    </row>
    <row r="4" spans="1:27" ht="14.25">
      <c r="A4" s="143" t="s">
        <v>302</v>
      </c>
      <c r="B4" s="624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6"/>
      <c r="P4" s="624"/>
      <c r="Q4" s="626"/>
      <c r="R4" s="624"/>
      <c r="S4" s="626"/>
      <c r="T4" s="624"/>
      <c r="U4" s="626"/>
      <c r="V4" s="624"/>
      <c r="W4" s="626"/>
      <c r="X4" s="624"/>
      <c r="Y4" s="994">
        <f aca="true" t="shared" si="0" ref="Y4:Y27">SUM(B4:X4)</f>
        <v>0</v>
      </c>
      <c r="Z4" s="626"/>
      <c r="AA4" s="994">
        <f aca="true" t="shared" si="1" ref="AA4:AA27">Y4+Z4</f>
        <v>0</v>
      </c>
    </row>
    <row r="5" spans="1:27" ht="14.25">
      <c r="A5" s="143" t="s">
        <v>303</v>
      </c>
      <c r="B5" s="624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6"/>
      <c r="P5" s="624"/>
      <c r="Q5" s="626"/>
      <c r="R5" s="624"/>
      <c r="S5" s="626"/>
      <c r="T5" s="624"/>
      <c r="U5" s="626"/>
      <c r="V5" s="624"/>
      <c r="W5" s="626"/>
      <c r="X5" s="624"/>
      <c r="Y5" s="994">
        <f t="shared" si="0"/>
        <v>0</v>
      </c>
      <c r="Z5" s="626"/>
      <c r="AA5" s="994">
        <f t="shared" si="1"/>
        <v>0</v>
      </c>
    </row>
    <row r="6" spans="1:27" ht="14.25">
      <c r="A6" s="143" t="s">
        <v>304</v>
      </c>
      <c r="B6" s="627">
        <v>1154200</v>
      </c>
      <c r="C6" s="625"/>
      <c r="D6" s="625"/>
      <c r="E6" s="625"/>
      <c r="F6" s="625">
        <v>93500</v>
      </c>
      <c r="G6" s="625"/>
      <c r="H6" s="625"/>
      <c r="I6" s="625">
        <v>640</v>
      </c>
      <c r="J6" s="625">
        <v>1361000</v>
      </c>
      <c r="K6" s="625"/>
      <c r="L6" s="625"/>
      <c r="M6" s="625"/>
      <c r="N6" s="625"/>
      <c r="O6" s="626"/>
      <c r="P6" s="624"/>
      <c r="Q6" s="626"/>
      <c r="R6" s="624">
        <v>185950</v>
      </c>
      <c r="S6" s="626">
        <v>1103</v>
      </c>
      <c r="T6" s="624"/>
      <c r="U6" s="626">
        <v>6737200</v>
      </c>
      <c r="V6" s="624"/>
      <c r="W6" s="626"/>
      <c r="X6" s="624">
        <v>4845</v>
      </c>
      <c r="Y6" s="994">
        <f t="shared" si="0"/>
        <v>9538438</v>
      </c>
      <c r="Z6" s="626"/>
      <c r="AA6" s="994">
        <f t="shared" si="1"/>
        <v>9538438</v>
      </c>
    </row>
    <row r="7" spans="1:27" ht="14.25">
      <c r="A7" s="143" t="s">
        <v>305</v>
      </c>
      <c r="B7" s="627">
        <v>2500</v>
      </c>
      <c r="C7" s="625"/>
      <c r="D7" s="625"/>
      <c r="E7" s="625"/>
      <c r="F7" s="625"/>
      <c r="G7" s="625"/>
      <c r="H7" s="625">
        <v>100</v>
      </c>
      <c r="I7" s="625">
        <v>58</v>
      </c>
      <c r="J7" s="625">
        <v>2500</v>
      </c>
      <c r="K7" s="625"/>
      <c r="L7" s="625">
        <v>3618</v>
      </c>
      <c r="M7" s="625"/>
      <c r="N7" s="625"/>
      <c r="O7" s="626"/>
      <c r="P7" s="624"/>
      <c r="Q7" s="626"/>
      <c r="R7" s="624">
        <v>597</v>
      </c>
      <c r="S7" s="626">
        <v>160095</v>
      </c>
      <c r="T7" s="624"/>
      <c r="U7" s="626">
        <v>5120700</v>
      </c>
      <c r="V7" s="624"/>
      <c r="W7" s="626"/>
      <c r="X7" s="624">
        <v>4200</v>
      </c>
      <c r="Y7" s="994">
        <f t="shared" si="0"/>
        <v>5294368</v>
      </c>
      <c r="Z7" s="626"/>
      <c r="AA7" s="994">
        <f t="shared" si="1"/>
        <v>5294368</v>
      </c>
    </row>
    <row r="8" spans="1:27" ht="14.25">
      <c r="A8" s="143" t="s">
        <v>306</v>
      </c>
      <c r="B8" s="627">
        <v>3126595</v>
      </c>
      <c r="C8" s="625">
        <v>467054</v>
      </c>
      <c r="D8" s="625"/>
      <c r="E8" s="625">
        <v>2178578</v>
      </c>
      <c r="F8" s="625">
        <v>2079888</v>
      </c>
      <c r="G8" s="625">
        <v>1671505</v>
      </c>
      <c r="H8" s="625">
        <v>610830</v>
      </c>
      <c r="I8" s="625">
        <v>842550</v>
      </c>
      <c r="J8" s="625">
        <v>1065063</v>
      </c>
      <c r="K8" s="625">
        <v>487847</v>
      </c>
      <c r="L8" s="625">
        <v>6780924</v>
      </c>
      <c r="M8" s="625">
        <v>7988948</v>
      </c>
      <c r="N8" s="625">
        <v>807159</v>
      </c>
      <c r="O8" s="626">
        <v>1398043.04</v>
      </c>
      <c r="P8" s="624">
        <v>3443157</v>
      </c>
      <c r="Q8" s="626">
        <v>3610892</v>
      </c>
      <c r="R8" s="624">
        <v>2739018</v>
      </c>
      <c r="S8" s="626">
        <v>1694014</v>
      </c>
      <c r="T8" s="624"/>
      <c r="U8" s="626">
        <v>2167536</v>
      </c>
      <c r="V8" s="624">
        <v>730180</v>
      </c>
      <c r="W8" s="626">
        <v>350532</v>
      </c>
      <c r="X8" s="624">
        <v>3141853</v>
      </c>
      <c r="Y8" s="994">
        <f t="shared" si="0"/>
        <v>47382166.04</v>
      </c>
      <c r="Z8" s="626"/>
      <c r="AA8" s="994">
        <f t="shared" si="1"/>
        <v>47382166.04</v>
      </c>
    </row>
    <row r="9" spans="1:27" ht="14.25">
      <c r="A9" s="143" t="s">
        <v>307</v>
      </c>
      <c r="B9" s="627"/>
      <c r="C9" s="625"/>
      <c r="D9" s="628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6"/>
      <c r="P9" s="624"/>
      <c r="Q9" s="626"/>
      <c r="R9" s="624"/>
      <c r="S9" s="626"/>
      <c r="T9" s="624"/>
      <c r="U9" s="626">
        <v>33600</v>
      </c>
      <c r="V9" s="624"/>
      <c r="W9" s="626"/>
      <c r="X9" s="624"/>
      <c r="Y9" s="994">
        <f t="shared" si="0"/>
        <v>33600</v>
      </c>
      <c r="Z9" s="626"/>
      <c r="AA9" s="994">
        <f t="shared" si="1"/>
        <v>33600</v>
      </c>
    </row>
    <row r="10" spans="1:27" ht="14.25">
      <c r="A10" s="143" t="s">
        <v>308</v>
      </c>
      <c r="B10" s="629"/>
      <c r="C10" s="625"/>
      <c r="D10" s="630"/>
      <c r="E10" s="625"/>
      <c r="F10" s="625"/>
      <c r="G10" s="625"/>
      <c r="H10" s="625"/>
      <c r="I10" s="625"/>
      <c r="J10" s="625"/>
      <c r="K10" s="625"/>
      <c r="L10" s="625"/>
      <c r="M10" s="625">
        <v>7055</v>
      </c>
      <c r="N10" s="625"/>
      <c r="O10" s="626"/>
      <c r="P10" s="624"/>
      <c r="Q10" s="626"/>
      <c r="R10" s="624"/>
      <c r="S10" s="626"/>
      <c r="T10" s="624"/>
      <c r="U10" s="626">
        <v>895</v>
      </c>
      <c r="V10" s="624"/>
      <c r="W10" s="626"/>
      <c r="X10" s="624"/>
      <c r="Y10" s="994">
        <f t="shared" si="0"/>
        <v>7950</v>
      </c>
      <c r="Z10" s="626"/>
      <c r="AA10" s="994">
        <f t="shared" si="1"/>
        <v>7950</v>
      </c>
    </row>
    <row r="11" spans="1:27" ht="14.25">
      <c r="A11" s="143" t="s">
        <v>309</v>
      </c>
      <c r="B11" s="62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6"/>
      <c r="P11" s="624"/>
      <c r="Q11" s="626"/>
      <c r="R11" s="624"/>
      <c r="S11" s="626"/>
      <c r="T11" s="624"/>
      <c r="U11" s="626"/>
      <c r="V11" s="624"/>
      <c r="W11" s="626"/>
      <c r="X11" s="624"/>
      <c r="Y11" s="994">
        <f t="shared" si="0"/>
        <v>0</v>
      </c>
      <c r="Z11" s="626"/>
      <c r="AA11" s="994">
        <f t="shared" si="1"/>
        <v>0</v>
      </c>
    </row>
    <row r="12" spans="1:27" ht="14.25">
      <c r="A12" s="143" t="s">
        <v>310</v>
      </c>
      <c r="B12" s="631"/>
      <c r="C12" s="625"/>
      <c r="D12" s="630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6"/>
      <c r="P12" s="624"/>
      <c r="Q12" s="626"/>
      <c r="R12" s="624"/>
      <c r="S12" s="626"/>
      <c r="T12" s="624"/>
      <c r="U12" s="626"/>
      <c r="V12" s="624"/>
      <c r="W12" s="626"/>
      <c r="X12" s="624"/>
      <c r="Y12" s="994">
        <f t="shared" si="0"/>
        <v>0</v>
      </c>
      <c r="Z12" s="626"/>
      <c r="AA12" s="994">
        <f t="shared" si="1"/>
        <v>0</v>
      </c>
    </row>
    <row r="13" spans="1:27" ht="14.25">
      <c r="A13" s="143" t="s">
        <v>311</v>
      </c>
      <c r="B13" s="631"/>
      <c r="C13" s="625"/>
      <c r="D13" s="630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6"/>
      <c r="P13" s="624"/>
      <c r="Q13" s="626"/>
      <c r="R13" s="624"/>
      <c r="S13" s="626"/>
      <c r="T13" s="624"/>
      <c r="U13" s="626"/>
      <c r="V13" s="624">
        <v>371095</v>
      </c>
      <c r="W13" s="626"/>
      <c r="X13" s="624"/>
      <c r="Y13" s="994">
        <f t="shared" si="0"/>
        <v>371095</v>
      </c>
      <c r="Z13" s="626"/>
      <c r="AA13" s="994">
        <f t="shared" si="1"/>
        <v>371095</v>
      </c>
    </row>
    <row r="14" spans="1:27" ht="14.25">
      <c r="A14" s="143" t="s">
        <v>74</v>
      </c>
      <c r="B14" s="631"/>
      <c r="C14" s="625"/>
      <c r="D14" s="630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6"/>
      <c r="P14" s="624"/>
      <c r="Q14" s="626"/>
      <c r="R14" s="624"/>
      <c r="S14" s="626"/>
      <c r="T14" s="624"/>
      <c r="U14" s="626"/>
      <c r="V14" s="624"/>
      <c r="W14" s="626"/>
      <c r="X14" s="624"/>
      <c r="Y14" s="994">
        <f t="shared" si="0"/>
        <v>0</v>
      </c>
      <c r="Z14" s="626"/>
      <c r="AA14" s="994">
        <f t="shared" si="1"/>
        <v>0</v>
      </c>
    </row>
    <row r="15" spans="1:27" s="102" customFormat="1" ht="14.25">
      <c r="A15" s="143" t="s">
        <v>312</v>
      </c>
      <c r="B15" s="632">
        <f>SUM(B3:B14)</f>
        <v>4409316</v>
      </c>
      <c r="C15" s="632">
        <f aca="true" t="shared" si="2" ref="C15:H15">SUM(C3:C14)</f>
        <v>521564</v>
      </c>
      <c r="D15" s="632">
        <f t="shared" si="2"/>
        <v>0</v>
      </c>
      <c r="E15" s="632">
        <f t="shared" si="2"/>
        <v>2829156</v>
      </c>
      <c r="F15" s="632">
        <f t="shared" si="2"/>
        <v>2255904</v>
      </c>
      <c r="G15" s="632">
        <f t="shared" si="2"/>
        <v>1681610</v>
      </c>
      <c r="H15" s="632">
        <f t="shared" si="2"/>
        <v>634937</v>
      </c>
      <c r="I15" s="632">
        <f aca="true" t="shared" si="3" ref="I15:X15">SUM(I3:I14)</f>
        <v>904592</v>
      </c>
      <c r="J15" s="632">
        <f t="shared" si="3"/>
        <v>2550411</v>
      </c>
      <c r="K15" s="632">
        <f t="shared" si="3"/>
        <v>679491</v>
      </c>
      <c r="L15" s="632">
        <f t="shared" si="3"/>
        <v>6798682</v>
      </c>
      <c r="M15" s="632">
        <f t="shared" si="3"/>
        <v>8119160</v>
      </c>
      <c r="N15" s="632">
        <f t="shared" si="3"/>
        <v>810612</v>
      </c>
      <c r="O15" s="632">
        <f t="shared" si="3"/>
        <v>1424910.01</v>
      </c>
      <c r="P15" s="632">
        <f t="shared" si="3"/>
        <v>3605923</v>
      </c>
      <c r="Q15" s="632">
        <f t="shared" si="3"/>
        <v>4059852</v>
      </c>
      <c r="R15" s="632">
        <f t="shared" si="3"/>
        <v>3294090</v>
      </c>
      <c r="S15" s="632">
        <f t="shared" si="3"/>
        <v>2340325</v>
      </c>
      <c r="T15" s="632">
        <f t="shared" si="3"/>
        <v>0</v>
      </c>
      <c r="U15" s="632">
        <f t="shared" si="3"/>
        <v>14232265</v>
      </c>
      <c r="V15" s="632">
        <f t="shared" si="3"/>
        <v>1152524</v>
      </c>
      <c r="W15" s="632">
        <f t="shared" si="3"/>
        <v>366691</v>
      </c>
      <c r="X15" s="632">
        <f t="shared" si="3"/>
        <v>3514153</v>
      </c>
      <c r="Y15" s="994">
        <f t="shared" si="0"/>
        <v>66186168.01</v>
      </c>
      <c r="Z15" s="634"/>
      <c r="AA15" s="994">
        <f t="shared" si="1"/>
        <v>66186168.01</v>
      </c>
    </row>
    <row r="16" spans="1:27" ht="14.25">
      <c r="A16" s="143" t="s">
        <v>313</v>
      </c>
      <c r="B16" s="631"/>
      <c r="C16" s="625"/>
      <c r="D16" s="630"/>
      <c r="E16" s="625"/>
      <c r="F16" s="625"/>
      <c r="G16" s="625"/>
      <c r="H16" s="625"/>
      <c r="I16" s="625"/>
      <c r="J16" s="625">
        <v>11</v>
      </c>
      <c r="K16" s="625"/>
      <c r="L16" s="625"/>
      <c r="M16" s="625">
        <v>198</v>
      </c>
      <c r="N16" s="625"/>
      <c r="O16" s="626">
        <v>7006.31</v>
      </c>
      <c r="P16" s="624"/>
      <c r="Q16" s="626"/>
      <c r="R16" s="624"/>
      <c r="S16" s="626"/>
      <c r="T16" s="624"/>
      <c r="U16" s="626"/>
      <c r="V16" s="624"/>
      <c r="W16" s="626"/>
      <c r="X16" s="624"/>
      <c r="Y16" s="994">
        <f t="shared" si="0"/>
        <v>7215.31</v>
      </c>
      <c r="Z16" s="626"/>
      <c r="AA16" s="994">
        <f t="shared" si="1"/>
        <v>7215.31</v>
      </c>
    </row>
    <row r="17" spans="1:27" ht="14.25" hidden="1">
      <c r="A17" s="634"/>
      <c r="B17" s="624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6"/>
      <c r="P17" s="624"/>
      <c r="Q17" s="626"/>
      <c r="R17" s="624"/>
      <c r="S17" s="626"/>
      <c r="T17" s="624"/>
      <c r="U17" s="626"/>
      <c r="V17" s="624"/>
      <c r="W17" s="626"/>
      <c r="X17" s="624"/>
      <c r="Y17" s="994">
        <f t="shared" si="0"/>
        <v>0</v>
      </c>
      <c r="Z17" s="626"/>
      <c r="AA17" s="994">
        <f t="shared" si="1"/>
        <v>0</v>
      </c>
    </row>
    <row r="18" spans="1:27" ht="14.25">
      <c r="A18" s="143" t="s">
        <v>176</v>
      </c>
      <c r="B18" s="624"/>
      <c r="C18" s="625"/>
      <c r="D18" s="625"/>
      <c r="E18" s="635"/>
      <c r="F18" s="625"/>
      <c r="G18" s="625"/>
      <c r="H18" s="625"/>
      <c r="I18" s="625"/>
      <c r="J18" s="625"/>
      <c r="K18" s="625"/>
      <c r="L18" s="625"/>
      <c r="M18" s="625"/>
      <c r="N18" s="625"/>
      <c r="O18" s="626"/>
      <c r="P18" s="624"/>
      <c r="Q18" s="626"/>
      <c r="R18" s="624"/>
      <c r="S18" s="626"/>
      <c r="T18" s="624"/>
      <c r="U18" s="626"/>
      <c r="V18" s="624"/>
      <c r="W18" s="626"/>
      <c r="X18" s="624"/>
      <c r="Y18" s="994">
        <f t="shared" si="0"/>
        <v>0</v>
      </c>
      <c r="Z18" s="626"/>
      <c r="AA18" s="994">
        <f t="shared" si="1"/>
        <v>0</v>
      </c>
    </row>
    <row r="19" spans="1:27" s="102" customFormat="1" ht="14.25">
      <c r="A19" s="143" t="s">
        <v>56</v>
      </c>
      <c r="B19" s="632">
        <f>B15</f>
        <v>4409316</v>
      </c>
      <c r="C19" s="633">
        <f>C15</f>
        <v>521564</v>
      </c>
      <c r="D19" s="633">
        <f aca="true" t="shared" si="4" ref="D19:X19">D15</f>
        <v>0</v>
      </c>
      <c r="E19" s="633">
        <f t="shared" si="4"/>
        <v>2829156</v>
      </c>
      <c r="F19" s="633">
        <f t="shared" si="4"/>
        <v>2255904</v>
      </c>
      <c r="G19" s="633">
        <f t="shared" si="4"/>
        <v>1681610</v>
      </c>
      <c r="H19" s="633">
        <f t="shared" si="4"/>
        <v>634937</v>
      </c>
      <c r="I19" s="633">
        <f>I15</f>
        <v>904592</v>
      </c>
      <c r="J19" s="633">
        <f t="shared" si="4"/>
        <v>2550411</v>
      </c>
      <c r="K19" s="633">
        <f t="shared" si="4"/>
        <v>679491</v>
      </c>
      <c r="L19" s="633">
        <v>6796204</v>
      </c>
      <c r="M19" s="633">
        <v>8112937</v>
      </c>
      <c r="N19" s="633">
        <f t="shared" si="4"/>
        <v>810612</v>
      </c>
      <c r="O19" s="633">
        <f t="shared" si="4"/>
        <v>1424910.01</v>
      </c>
      <c r="P19" s="633">
        <f t="shared" si="4"/>
        <v>3605923</v>
      </c>
      <c r="Q19" s="633">
        <f t="shared" si="4"/>
        <v>4059852</v>
      </c>
      <c r="R19" s="633">
        <f t="shared" si="4"/>
        <v>3294090</v>
      </c>
      <c r="S19" s="633">
        <v>2338518</v>
      </c>
      <c r="T19" s="633">
        <f t="shared" si="4"/>
        <v>0</v>
      </c>
      <c r="U19" s="633">
        <v>14153712</v>
      </c>
      <c r="V19" s="633">
        <f t="shared" si="4"/>
        <v>1152524</v>
      </c>
      <c r="W19" s="633">
        <f t="shared" si="4"/>
        <v>366691</v>
      </c>
      <c r="X19" s="633">
        <f t="shared" si="4"/>
        <v>3514153</v>
      </c>
      <c r="Y19" s="994">
        <f t="shared" si="0"/>
        <v>66097107.01</v>
      </c>
      <c r="Z19" s="634"/>
      <c r="AA19" s="994">
        <f t="shared" si="1"/>
        <v>66097107.01</v>
      </c>
    </row>
    <row r="20" spans="1:27" ht="14.25">
      <c r="A20" s="143" t="s">
        <v>57</v>
      </c>
      <c r="B20" s="627"/>
      <c r="C20" s="625"/>
      <c r="D20" s="628"/>
      <c r="E20" s="625"/>
      <c r="F20" s="625"/>
      <c r="G20" s="625"/>
      <c r="H20" s="625"/>
      <c r="I20" s="625"/>
      <c r="J20" s="625"/>
      <c r="K20" s="625"/>
      <c r="L20" s="625">
        <v>2478</v>
      </c>
      <c r="M20" s="625">
        <v>6223</v>
      </c>
      <c r="N20" s="625"/>
      <c r="O20" s="626"/>
      <c r="P20" s="624"/>
      <c r="Q20" s="626"/>
      <c r="R20" s="624"/>
      <c r="S20" s="626">
        <v>1807</v>
      </c>
      <c r="T20" s="624"/>
      <c r="U20" s="626">
        <v>78553</v>
      </c>
      <c r="V20" s="624"/>
      <c r="W20" s="626"/>
      <c r="X20" s="624"/>
      <c r="Y20" s="994">
        <f t="shared" si="0"/>
        <v>89061</v>
      </c>
      <c r="Z20" s="626"/>
      <c r="AA20" s="994">
        <f t="shared" si="1"/>
        <v>89061</v>
      </c>
    </row>
    <row r="21" spans="1:27" s="818" customFormat="1" ht="14.25">
      <c r="A21" s="876" t="s">
        <v>314</v>
      </c>
      <c r="B21" s="877">
        <f>B15</f>
        <v>4409316</v>
      </c>
      <c r="C21" s="877">
        <f aca="true" t="shared" si="5" ref="C21:W21">C15</f>
        <v>521564</v>
      </c>
      <c r="D21" s="877">
        <f t="shared" si="5"/>
        <v>0</v>
      </c>
      <c r="E21" s="877">
        <f t="shared" si="5"/>
        <v>2829156</v>
      </c>
      <c r="F21" s="877">
        <f t="shared" si="5"/>
        <v>2255904</v>
      </c>
      <c r="G21" s="877">
        <f t="shared" si="5"/>
        <v>1681610</v>
      </c>
      <c r="H21" s="877">
        <f t="shared" si="5"/>
        <v>634937</v>
      </c>
      <c r="I21" s="877">
        <f t="shared" si="5"/>
        <v>904592</v>
      </c>
      <c r="J21" s="877">
        <f t="shared" si="5"/>
        <v>2550411</v>
      </c>
      <c r="K21" s="877">
        <f t="shared" si="5"/>
        <v>679491</v>
      </c>
      <c r="L21" s="877">
        <f t="shared" si="5"/>
        <v>6798682</v>
      </c>
      <c r="M21" s="877">
        <f t="shared" si="5"/>
        <v>8119160</v>
      </c>
      <c r="N21" s="877">
        <f t="shared" si="5"/>
        <v>810612</v>
      </c>
      <c r="O21" s="877">
        <f t="shared" si="5"/>
        <v>1424910.01</v>
      </c>
      <c r="P21" s="877">
        <f t="shared" si="5"/>
        <v>3605923</v>
      </c>
      <c r="Q21" s="877">
        <f t="shared" si="5"/>
        <v>4059852</v>
      </c>
      <c r="R21" s="877">
        <f t="shared" si="5"/>
        <v>3294090</v>
      </c>
      <c r="S21" s="877">
        <f t="shared" si="5"/>
        <v>2340325</v>
      </c>
      <c r="T21" s="877">
        <f t="shared" si="5"/>
        <v>0</v>
      </c>
      <c r="U21" s="877">
        <f t="shared" si="5"/>
        <v>14232265</v>
      </c>
      <c r="V21" s="877">
        <f t="shared" si="5"/>
        <v>1152524</v>
      </c>
      <c r="W21" s="877">
        <f t="shared" si="5"/>
        <v>366691</v>
      </c>
      <c r="X21" s="999">
        <f>X15</f>
        <v>3514153</v>
      </c>
      <c r="Y21" s="1188">
        <f t="shared" si="0"/>
        <v>66186168.01</v>
      </c>
      <c r="Z21" s="876"/>
      <c r="AA21" s="1188">
        <f t="shared" si="1"/>
        <v>66186168.01</v>
      </c>
    </row>
    <row r="22" spans="1:27" ht="14.25">
      <c r="A22" s="143" t="s">
        <v>315</v>
      </c>
      <c r="B22" s="624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6"/>
      <c r="P22" s="624"/>
      <c r="Q22" s="626"/>
      <c r="R22" s="624"/>
      <c r="S22" s="626"/>
      <c r="T22" s="624"/>
      <c r="U22" s="626"/>
      <c r="V22" s="624"/>
      <c r="W22" s="626"/>
      <c r="X22" s="624"/>
      <c r="Y22" s="994">
        <f t="shared" si="0"/>
        <v>0</v>
      </c>
      <c r="Z22" s="626"/>
      <c r="AA22" s="994">
        <f t="shared" si="1"/>
        <v>0</v>
      </c>
    </row>
    <row r="23" spans="1:27" ht="14.25">
      <c r="A23" s="634" t="s">
        <v>0</v>
      </c>
      <c r="B23" s="620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6"/>
      <c r="P23" s="624"/>
      <c r="Q23" s="626"/>
      <c r="R23" s="624"/>
      <c r="S23" s="626"/>
      <c r="T23" s="624"/>
      <c r="U23" s="626"/>
      <c r="V23" s="624"/>
      <c r="W23" s="626"/>
      <c r="X23" s="624"/>
      <c r="Y23" s="994">
        <f t="shared" si="0"/>
        <v>0</v>
      </c>
      <c r="Z23" s="626"/>
      <c r="AA23" s="994">
        <f t="shared" si="1"/>
        <v>0</v>
      </c>
    </row>
    <row r="24" spans="1:27" ht="14.25">
      <c r="A24" s="634" t="s">
        <v>316</v>
      </c>
      <c r="B24" s="629"/>
      <c r="C24" s="625"/>
      <c r="D24" s="636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6"/>
      <c r="P24" s="624"/>
      <c r="Q24" s="626"/>
      <c r="R24" s="624"/>
      <c r="S24" s="626"/>
      <c r="T24" s="624"/>
      <c r="U24" s="626">
        <v>22</v>
      </c>
      <c r="V24" s="624"/>
      <c r="W24" s="626">
        <v>348</v>
      </c>
      <c r="X24" s="624"/>
      <c r="Y24" s="994">
        <f t="shared" si="0"/>
        <v>370</v>
      </c>
      <c r="Z24" s="626"/>
      <c r="AA24" s="994">
        <f t="shared" si="1"/>
        <v>370</v>
      </c>
    </row>
    <row r="25" spans="1:27" ht="14.25">
      <c r="A25" s="634" t="s">
        <v>317</v>
      </c>
      <c r="B25" s="627"/>
      <c r="C25" s="625"/>
      <c r="D25" s="628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6"/>
      <c r="P25" s="624"/>
      <c r="Q25" s="626"/>
      <c r="R25" s="624"/>
      <c r="S25" s="626"/>
      <c r="T25" s="624"/>
      <c r="U25" s="626">
        <v>71754</v>
      </c>
      <c r="V25" s="624"/>
      <c r="W25" s="626"/>
      <c r="X25" s="624"/>
      <c r="Y25" s="994">
        <f t="shared" si="0"/>
        <v>71754</v>
      </c>
      <c r="Z25" s="626"/>
      <c r="AA25" s="994">
        <f t="shared" si="1"/>
        <v>71754</v>
      </c>
    </row>
    <row r="26" spans="1:27" ht="14.25">
      <c r="A26" s="634" t="s">
        <v>318</v>
      </c>
      <c r="B26" s="627"/>
      <c r="C26" s="625"/>
      <c r="D26" s="628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6"/>
      <c r="P26" s="624"/>
      <c r="Q26" s="626"/>
      <c r="R26" s="624"/>
      <c r="S26" s="626"/>
      <c r="T26" s="624"/>
      <c r="U26" s="626">
        <v>100558</v>
      </c>
      <c r="V26" s="624"/>
      <c r="W26" s="626">
        <v>15811</v>
      </c>
      <c r="X26" s="624"/>
      <c r="Y26" s="994">
        <f t="shared" si="0"/>
        <v>116369</v>
      </c>
      <c r="Z26" s="626"/>
      <c r="AA26" s="994">
        <f t="shared" si="1"/>
        <v>116369</v>
      </c>
    </row>
    <row r="27" spans="1:27" ht="15" thickBot="1">
      <c r="A27" s="878" t="s">
        <v>54</v>
      </c>
      <c r="B27" s="637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9"/>
      <c r="P27" s="1000"/>
      <c r="Q27" s="639"/>
      <c r="R27" s="1000"/>
      <c r="S27" s="639"/>
      <c r="T27" s="1000"/>
      <c r="U27" s="639">
        <v>172334</v>
      </c>
      <c r="V27" s="1000"/>
      <c r="W27" s="639">
        <v>16159</v>
      </c>
      <c r="X27" s="1000"/>
      <c r="Y27" s="995">
        <f t="shared" si="0"/>
        <v>188493</v>
      </c>
      <c r="Z27" s="639"/>
      <c r="AA27" s="995">
        <f t="shared" si="1"/>
        <v>188493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2"/>
  <sheetViews>
    <sheetView zoomScalePageLayoutView="0" workbookViewId="0" topLeftCell="A2">
      <pane xSplit="1" topLeftCell="R1" activePane="topRight" state="frozen"/>
      <selection pane="topLeft" activeCell="A1" sqref="A1"/>
      <selection pane="topRight" activeCell="Y7" sqref="Y7"/>
    </sheetView>
  </sheetViews>
  <sheetFormatPr defaultColWidth="9.140625" defaultRowHeight="15"/>
  <cols>
    <col min="1" max="1" width="51.28125" style="114" bestFit="1" customWidth="1"/>
    <col min="2" max="2" width="10.421875" style="114" bestFit="1" customWidth="1"/>
    <col min="3" max="3" width="13.8515625" style="114" bestFit="1" customWidth="1"/>
    <col min="4" max="4" width="10.7109375" style="114" bestFit="1" customWidth="1"/>
    <col min="5" max="5" width="10.57421875" style="114" bestFit="1" customWidth="1"/>
    <col min="6" max="6" width="10.421875" style="114" bestFit="1" customWidth="1"/>
    <col min="7" max="7" width="13.8515625" style="114" bestFit="1" customWidth="1"/>
    <col min="8" max="8" width="12.140625" style="114" bestFit="1" customWidth="1"/>
    <col min="9" max="10" width="10.421875" style="114" bestFit="1" customWidth="1"/>
    <col min="11" max="11" width="12.140625" style="114" bestFit="1" customWidth="1"/>
    <col min="12" max="12" width="10.421875" style="114" bestFit="1" customWidth="1"/>
    <col min="13" max="13" width="12.140625" style="114" bestFit="1" customWidth="1"/>
    <col min="14" max="15" width="10.421875" style="114" bestFit="1" customWidth="1"/>
    <col min="16" max="16" width="11.7109375" style="114" bestFit="1" customWidth="1"/>
    <col min="17" max="17" width="10.421875" style="114" bestFit="1" customWidth="1"/>
    <col min="18" max="18" width="11.00390625" style="114" bestFit="1" customWidth="1"/>
    <col min="19" max="21" width="10.421875" style="114" bestFit="1" customWidth="1"/>
    <col min="22" max="22" width="11.57421875" style="114" bestFit="1" customWidth="1"/>
    <col min="23" max="23" width="10.7109375" style="114" bestFit="1" customWidth="1"/>
    <col min="24" max="24" width="10.421875" style="114" bestFit="1" customWidth="1"/>
    <col min="25" max="25" width="15.57421875" style="114" bestFit="1" customWidth="1"/>
    <col min="26" max="26" width="12.140625" style="114" bestFit="1" customWidth="1"/>
    <col min="27" max="27" width="15.57421875" style="114" bestFit="1" customWidth="1"/>
    <col min="28" max="16384" width="9.140625" style="114" customWidth="1"/>
  </cols>
  <sheetData>
    <row r="1" ht="17.25" thickBot="1">
      <c r="A1" s="706" t="s">
        <v>449</v>
      </c>
    </row>
    <row r="2" spans="1:27" s="712" customFormat="1" ht="75" customHeight="1" thickBot="1">
      <c r="A2" s="1761" t="s">
        <v>0</v>
      </c>
      <c r="B2" s="1008" t="s">
        <v>184</v>
      </c>
      <c r="C2" s="801" t="s">
        <v>185</v>
      </c>
      <c r="D2" s="801" t="s">
        <v>186</v>
      </c>
      <c r="E2" s="801" t="s">
        <v>187</v>
      </c>
      <c r="F2" s="801" t="s">
        <v>188</v>
      </c>
      <c r="G2" s="801" t="s">
        <v>189</v>
      </c>
      <c r="H2" s="801" t="s">
        <v>527</v>
      </c>
      <c r="I2" s="801" t="s">
        <v>190</v>
      </c>
      <c r="J2" s="801" t="s">
        <v>191</v>
      </c>
      <c r="K2" s="801" t="s">
        <v>192</v>
      </c>
      <c r="L2" s="801" t="s">
        <v>193</v>
      </c>
      <c r="M2" s="801" t="s">
        <v>194</v>
      </c>
      <c r="N2" s="801" t="s">
        <v>195</v>
      </c>
      <c r="O2" s="801" t="s">
        <v>196</v>
      </c>
      <c r="P2" s="801" t="s">
        <v>197</v>
      </c>
      <c r="Q2" s="801" t="s">
        <v>198</v>
      </c>
      <c r="R2" s="801" t="s">
        <v>199</v>
      </c>
      <c r="S2" s="801" t="s">
        <v>200</v>
      </c>
      <c r="T2" s="801" t="s">
        <v>201</v>
      </c>
      <c r="U2" s="801" t="s">
        <v>202</v>
      </c>
      <c r="V2" s="801" t="s">
        <v>203</v>
      </c>
      <c r="W2" s="801" t="s">
        <v>204</v>
      </c>
      <c r="X2" s="801" t="s">
        <v>205</v>
      </c>
      <c r="Y2" s="943" t="s">
        <v>1</v>
      </c>
      <c r="Z2" s="800" t="s">
        <v>206</v>
      </c>
      <c r="AA2" s="943" t="s">
        <v>2</v>
      </c>
    </row>
    <row r="3" spans="1:27" s="862" customFormat="1" ht="30.75" customHeight="1" thickBot="1">
      <c r="A3" s="1762"/>
      <c r="B3" s="941" t="s">
        <v>447</v>
      </c>
      <c r="C3" s="941" t="s">
        <v>447</v>
      </c>
      <c r="D3" s="941" t="s">
        <v>447</v>
      </c>
      <c r="E3" s="941" t="s">
        <v>447</v>
      </c>
      <c r="F3" s="941" t="s">
        <v>447</v>
      </c>
      <c r="G3" s="941" t="s">
        <v>447</v>
      </c>
      <c r="H3" s="941" t="s">
        <v>447</v>
      </c>
      <c r="I3" s="941" t="s">
        <v>447</v>
      </c>
      <c r="J3" s="941" t="s">
        <v>447</v>
      </c>
      <c r="K3" s="941" t="s">
        <v>447</v>
      </c>
      <c r="L3" s="941" t="s">
        <v>447</v>
      </c>
      <c r="M3" s="941" t="s">
        <v>447</v>
      </c>
      <c r="N3" s="942" t="s">
        <v>396</v>
      </c>
      <c r="O3" s="942" t="s">
        <v>396</v>
      </c>
      <c r="P3" s="942" t="s">
        <v>447</v>
      </c>
      <c r="Q3" s="942" t="s">
        <v>447</v>
      </c>
      <c r="R3" s="942" t="s">
        <v>447</v>
      </c>
      <c r="S3" s="942" t="s">
        <v>447</v>
      </c>
      <c r="T3" s="942" t="s">
        <v>447</v>
      </c>
      <c r="U3" s="942" t="s">
        <v>447</v>
      </c>
      <c r="V3" s="942" t="s">
        <v>447</v>
      </c>
      <c r="W3" s="942" t="s">
        <v>447</v>
      </c>
      <c r="X3" s="942" t="s">
        <v>447</v>
      </c>
      <c r="Y3" s="942" t="s">
        <v>447</v>
      </c>
      <c r="Z3" s="942" t="s">
        <v>447</v>
      </c>
      <c r="AA3" s="942" t="s">
        <v>447</v>
      </c>
    </row>
    <row r="4" spans="1:27" ht="16.5">
      <c r="A4" s="881" t="s">
        <v>397</v>
      </c>
      <c r="B4" s="1009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09"/>
      <c r="Z4" s="1011"/>
      <c r="AA4" s="1012"/>
    </row>
    <row r="5" spans="1:27" ht="16.5">
      <c r="A5" s="879" t="s">
        <v>398</v>
      </c>
      <c r="B5" s="718">
        <v>2150247</v>
      </c>
      <c r="C5" s="709">
        <v>76241</v>
      </c>
      <c r="D5" s="709"/>
      <c r="E5" s="709">
        <v>1554798</v>
      </c>
      <c r="F5" s="709">
        <v>83139</v>
      </c>
      <c r="G5" s="709">
        <v>814401</v>
      </c>
      <c r="H5" s="709">
        <v>30902</v>
      </c>
      <c r="I5" s="709">
        <v>73623</v>
      </c>
      <c r="J5" s="709">
        <v>151801</v>
      </c>
      <c r="K5" s="709">
        <v>57150</v>
      </c>
      <c r="L5" s="709">
        <v>4754148</v>
      </c>
      <c r="M5" s="709">
        <v>8687091</v>
      </c>
      <c r="N5" s="709">
        <v>247607</v>
      </c>
      <c r="O5" s="709">
        <v>376879</v>
      </c>
      <c r="P5" s="709">
        <v>1278573</v>
      </c>
      <c r="Q5" s="709">
        <v>1733979</v>
      </c>
      <c r="R5" s="709">
        <v>510943</v>
      </c>
      <c r="S5" s="709">
        <v>412844</v>
      </c>
      <c r="T5" s="709"/>
      <c r="U5" s="709">
        <v>6884759</v>
      </c>
      <c r="V5" s="709">
        <v>44023.06</v>
      </c>
      <c r="W5" s="709">
        <v>196521</v>
      </c>
      <c r="X5" s="709">
        <v>880901</v>
      </c>
      <c r="Y5" s="718">
        <f>SUM(B5:X5)</f>
        <v>31000570.06</v>
      </c>
      <c r="Z5" s="716"/>
      <c r="AA5" s="718">
        <f>Y5+Z5</f>
        <v>31000570.06</v>
      </c>
    </row>
    <row r="6" spans="1:27" ht="16.5">
      <c r="A6" s="879" t="s">
        <v>399</v>
      </c>
      <c r="B6" s="718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18">
        <f aca="true" t="shared" si="0" ref="Y6:Y22">SUM(B6:X6)</f>
        <v>0</v>
      </c>
      <c r="Z6" s="716"/>
      <c r="AA6" s="718">
        <f aca="true" t="shared" si="1" ref="AA6:AA22">Y6+Z6</f>
        <v>0</v>
      </c>
    </row>
    <row r="7" spans="1:27" ht="16.5">
      <c r="A7" s="879" t="s">
        <v>400</v>
      </c>
      <c r="B7" s="718">
        <v>161659</v>
      </c>
      <c r="C7" s="709">
        <v>2596</v>
      </c>
      <c r="D7" s="709"/>
      <c r="E7" s="709">
        <v>393176</v>
      </c>
      <c r="F7" s="709">
        <v>6829</v>
      </c>
      <c r="G7" s="709">
        <v>9380</v>
      </c>
      <c r="H7" s="709">
        <v>706</v>
      </c>
      <c r="I7" s="709">
        <v>2719</v>
      </c>
      <c r="J7" s="709">
        <v>6873</v>
      </c>
      <c r="K7" s="709">
        <v>964</v>
      </c>
      <c r="L7" s="709">
        <v>701724</v>
      </c>
      <c r="M7" s="709">
        <v>1023540</v>
      </c>
      <c r="N7" s="709">
        <v>4826</v>
      </c>
      <c r="O7" s="709">
        <v>16535</v>
      </c>
      <c r="P7" s="709">
        <v>67795</v>
      </c>
      <c r="Q7" s="709">
        <v>182437</v>
      </c>
      <c r="R7" s="709">
        <v>21239</v>
      </c>
      <c r="S7" s="709">
        <v>28910</v>
      </c>
      <c r="T7" s="709"/>
      <c r="U7" s="709">
        <v>1075720</v>
      </c>
      <c r="V7" s="709">
        <v>928.19</v>
      </c>
      <c r="W7" s="709">
        <v>6744</v>
      </c>
      <c r="X7" s="709">
        <v>72755</v>
      </c>
      <c r="Y7" s="718">
        <f t="shared" si="0"/>
        <v>3788055.19</v>
      </c>
      <c r="Z7" s="716"/>
      <c r="AA7" s="718">
        <f t="shared" si="1"/>
        <v>3788055.19</v>
      </c>
    </row>
    <row r="8" spans="1:27" ht="16.5">
      <c r="A8" s="879" t="s">
        <v>401</v>
      </c>
      <c r="B8" s="718">
        <v>6430</v>
      </c>
      <c r="C8" s="711"/>
      <c r="D8" s="709"/>
      <c r="E8" s="709"/>
      <c r="F8" s="709"/>
      <c r="G8" s="709"/>
      <c r="H8" s="709"/>
      <c r="I8" s="709"/>
      <c r="J8" s="709"/>
      <c r="K8" s="709"/>
      <c r="L8" s="709"/>
      <c r="M8" s="709">
        <v>78089</v>
      </c>
      <c r="N8" s="709"/>
      <c r="O8" s="709">
        <v>2198</v>
      </c>
      <c r="P8" s="709"/>
      <c r="Q8" s="709"/>
      <c r="R8" s="709"/>
      <c r="S8" s="709">
        <v>1364</v>
      </c>
      <c r="T8" s="709"/>
      <c r="U8" s="709"/>
      <c r="V8" s="709"/>
      <c r="W8" s="709"/>
      <c r="X8" s="709">
        <v>4069</v>
      </c>
      <c r="Y8" s="718">
        <f t="shared" si="0"/>
        <v>92150</v>
      </c>
      <c r="Z8" s="716"/>
      <c r="AA8" s="718">
        <f t="shared" si="1"/>
        <v>92150</v>
      </c>
    </row>
    <row r="9" spans="1:27" ht="16.5">
      <c r="A9" s="879" t="s">
        <v>403</v>
      </c>
      <c r="B9" s="718"/>
      <c r="C9" s="711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18">
        <f t="shared" si="0"/>
        <v>0</v>
      </c>
      <c r="Z9" s="716"/>
      <c r="AA9" s="718">
        <f t="shared" si="1"/>
        <v>0</v>
      </c>
    </row>
    <row r="10" spans="1:27" ht="16.5">
      <c r="A10" s="879" t="s">
        <v>404</v>
      </c>
      <c r="B10" s="718"/>
      <c r="C10" s="711"/>
      <c r="D10" s="709"/>
      <c r="E10" s="709"/>
      <c r="F10" s="709"/>
      <c r="G10" s="709"/>
      <c r="H10" s="709"/>
      <c r="I10" s="709"/>
      <c r="J10" s="709">
        <v>11159</v>
      </c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18">
        <f t="shared" si="0"/>
        <v>11159</v>
      </c>
      <c r="Z10" s="716"/>
      <c r="AA10" s="718">
        <f t="shared" si="1"/>
        <v>11159</v>
      </c>
    </row>
    <row r="11" spans="1:27" ht="16.5">
      <c r="A11" s="882" t="s">
        <v>402</v>
      </c>
      <c r="B11" s="718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18">
        <f t="shared" si="0"/>
        <v>0</v>
      </c>
      <c r="Z11" s="716"/>
      <c r="AA11" s="718">
        <f t="shared" si="1"/>
        <v>0</v>
      </c>
    </row>
    <row r="12" spans="1:27" ht="16.5">
      <c r="A12" s="879" t="s">
        <v>398</v>
      </c>
      <c r="B12" s="718">
        <v>1063363</v>
      </c>
      <c r="C12" s="709">
        <v>150600</v>
      </c>
      <c r="D12" s="709"/>
      <c r="E12" s="709">
        <v>1841298</v>
      </c>
      <c r="F12" s="709">
        <v>584114</v>
      </c>
      <c r="G12" s="709">
        <v>495570</v>
      </c>
      <c r="H12" s="709">
        <v>380379</v>
      </c>
      <c r="I12" s="709">
        <v>185546</v>
      </c>
      <c r="J12" s="709">
        <v>1079462</v>
      </c>
      <c r="K12" s="709">
        <v>317578</v>
      </c>
      <c r="L12" s="709">
        <v>4722377</v>
      </c>
      <c r="M12" s="709">
        <v>4069781</v>
      </c>
      <c r="N12" s="709">
        <v>650753</v>
      </c>
      <c r="O12" s="709">
        <v>350699</v>
      </c>
      <c r="P12" s="709">
        <v>1662894</v>
      </c>
      <c r="Q12" s="709">
        <v>4507264</v>
      </c>
      <c r="R12" s="709">
        <v>1541357</v>
      </c>
      <c r="S12" s="709">
        <v>1450877</v>
      </c>
      <c r="T12" s="709"/>
      <c r="U12" s="709">
        <v>6459294</v>
      </c>
      <c r="V12" s="709">
        <v>409476</v>
      </c>
      <c r="W12" s="709">
        <v>566305</v>
      </c>
      <c r="X12" s="709">
        <v>1827116</v>
      </c>
      <c r="Y12" s="718">
        <f t="shared" si="0"/>
        <v>34316103</v>
      </c>
      <c r="Z12" s="716"/>
      <c r="AA12" s="718">
        <f t="shared" si="1"/>
        <v>34316103</v>
      </c>
    </row>
    <row r="13" spans="1:27" ht="16.5">
      <c r="A13" s="879" t="s">
        <v>399</v>
      </c>
      <c r="B13" s="718">
        <v>21252</v>
      </c>
      <c r="C13" s="709">
        <v>30</v>
      </c>
      <c r="D13" s="709"/>
      <c r="E13" s="709">
        <v>19373</v>
      </c>
      <c r="F13" s="709"/>
      <c r="G13" s="709">
        <v>23863</v>
      </c>
      <c r="H13" s="709"/>
      <c r="I13" s="709">
        <v>3658</v>
      </c>
      <c r="J13" s="709">
        <v>13323</v>
      </c>
      <c r="K13" s="709">
        <v>1043</v>
      </c>
      <c r="L13" s="709">
        <v>778089</v>
      </c>
      <c r="M13" s="709">
        <v>460617</v>
      </c>
      <c r="N13" s="709">
        <v>733</v>
      </c>
      <c r="O13" s="709">
        <v>355</v>
      </c>
      <c r="P13" s="709">
        <v>45322</v>
      </c>
      <c r="Q13" s="709">
        <v>31795</v>
      </c>
      <c r="R13" s="709">
        <v>3611</v>
      </c>
      <c r="S13" s="709">
        <v>8313</v>
      </c>
      <c r="T13" s="709"/>
      <c r="U13" s="709">
        <v>410160</v>
      </c>
      <c r="V13" s="709">
        <v>820.01</v>
      </c>
      <c r="W13" s="709">
        <v>22501</v>
      </c>
      <c r="X13" s="709">
        <v>44784</v>
      </c>
      <c r="Y13" s="718">
        <f t="shared" si="0"/>
        <v>1889642.01</v>
      </c>
      <c r="Z13" s="716"/>
      <c r="AA13" s="718">
        <f t="shared" si="1"/>
        <v>1889642.01</v>
      </c>
    </row>
    <row r="14" spans="1:27" ht="16.5">
      <c r="A14" s="879" t="s">
        <v>400</v>
      </c>
      <c r="B14" s="718">
        <v>239267</v>
      </c>
      <c r="C14" s="709">
        <v>313</v>
      </c>
      <c r="D14" s="709"/>
      <c r="E14" s="709">
        <v>805980</v>
      </c>
      <c r="F14" s="709">
        <v>637</v>
      </c>
      <c r="G14" s="709">
        <v>70153</v>
      </c>
      <c r="H14" s="709"/>
      <c r="I14" s="709">
        <v>7658</v>
      </c>
      <c r="J14" s="709">
        <f>1199+183731</f>
        <v>184930</v>
      </c>
      <c r="K14" s="709">
        <v>39726</v>
      </c>
      <c r="L14" s="709">
        <v>983098</v>
      </c>
      <c r="M14" s="709">
        <v>83674</v>
      </c>
      <c r="N14" s="709">
        <v>5656</v>
      </c>
      <c r="O14" s="709">
        <v>640297</v>
      </c>
      <c r="P14" s="709">
        <v>66239</v>
      </c>
      <c r="Q14" s="709">
        <v>7163</v>
      </c>
      <c r="R14" s="709">
        <v>19265</v>
      </c>
      <c r="S14" s="709">
        <v>11626</v>
      </c>
      <c r="T14" s="709"/>
      <c r="U14" s="709">
        <v>638694</v>
      </c>
      <c r="V14" s="709"/>
      <c r="W14" s="709">
        <v>69276</v>
      </c>
      <c r="X14" s="709">
        <v>63292</v>
      </c>
      <c r="Y14" s="718">
        <f t="shared" si="0"/>
        <v>3936944</v>
      </c>
      <c r="Z14" s="716"/>
      <c r="AA14" s="718">
        <f t="shared" si="1"/>
        <v>3936944</v>
      </c>
    </row>
    <row r="15" spans="1:27" ht="16.5">
      <c r="A15" s="879" t="s">
        <v>401</v>
      </c>
      <c r="B15" s="718">
        <v>83</v>
      </c>
      <c r="C15" s="709">
        <v>206</v>
      </c>
      <c r="D15" s="709"/>
      <c r="E15" s="709">
        <v>1175</v>
      </c>
      <c r="F15" s="709">
        <v>1586</v>
      </c>
      <c r="G15" s="709">
        <v>377</v>
      </c>
      <c r="H15" s="709">
        <v>241</v>
      </c>
      <c r="I15" s="709">
        <v>487</v>
      </c>
      <c r="J15" s="709">
        <v>82</v>
      </c>
      <c r="K15" s="709">
        <v>955</v>
      </c>
      <c r="L15" s="709">
        <v>5853</v>
      </c>
      <c r="M15" s="709">
        <v>5189</v>
      </c>
      <c r="N15" s="709">
        <v>7</v>
      </c>
      <c r="O15" s="709">
        <v>301</v>
      </c>
      <c r="P15" s="709"/>
      <c r="Q15" s="709">
        <v>1853</v>
      </c>
      <c r="R15" s="709">
        <v>15459</v>
      </c>
      <c r="S15" s="709">
        <v>1225</v>
      </c>
      <c r="T15" s="709"/>
      <c r="U15" s="709">
        <v>208</v>
      </c>
      <c r="V15" s="709">
        <v>55.64</v>
      </c>
      <c r="W15" s="709">
        <v>8045</v>
      </c>
      <c r="X15" s="709">
        <v>2423</v>
      </c>
      <c r="Y15" s="718">
        <f t="shared" si="0"/>
        <v>45810.64</v>
      </c>
      <c r="Z15" s="716"/>
      <c r="AA15" s="718">
        <f t="shared" si="1"/>
        <v>45810.64</v>
      </c>
    </row>
    <row r="16" spans="1:27" ht="17.25" thickBot="1">
      <c r="A16" s="883" t="s">
        <v>403</v>
      </c>
      <c r="B16" s="884">
        <v>352644</v>
      </c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718">
        <f t="shared" si="0"/>
        <v>352644</v>
      </c>
      <c r="Z16" s="1006"/>
      <c r="AA16" s="718">
        <f t="shared" si="1"/>
        <v>352644</v>
      </c>
    </row>
    <row r="17" spans="1:27" ht="16.5">
      <c r="A17" s="879" t="s">
        <v>404</v>
      </c>
      <c r="B17" s="718"/>
      <c r="C17" s="709"/>
      <c r="D17" s="709"/>
      <c r="E17" s="709"/>
      <c r="F17" s="709"/>
      <c r="G17" s="709"/>
      <c r="H17" s="709"/>
      <c r="I17" s="709"/>
      <c r="J17" s="709">
        <v>5194</v>
      </c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18">
        <f t="shared" si="0"/>
        <v>5194</v>
      </c>
      <c r="Z17" s="716"/>
      <c r="AA17" s="718">
        <f t="shared" si="1"/>
        <v>5194</v>
      </c>
    </row>
    <row r="18" spans="1:27" ht="16.5">
      <c r="A18" s="114" t="s">
        <v>405</v>
      </c>
      <c r="B18" s="718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18">
        <f t="shared" si="0"/>
        <v>0</v>
      </c>
      <c r="Z18" s="716"/>
      <c r="AA18" s="718">
        <f t="shared" si="1"/>
        <v>0</v>
      </c>
    </row>
    <row r="19" spans="1:27" ht="16.5">
      <c r="A19" s="879" t="s">
        <v>398</v>
      </c>
      <c r="B19" s="718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>
        <v>20512</v>
      </c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18">
        <f t="shared" si="0"/>
        <v>20512</v>
      </c>
      <c r="Z19" s="716"/>
      <c r="AA19" s="718">
        <f t="shared" si="1"/>
        <v>20512</v>
      </c>
    </row>
    <row r="20" spans="1:27" ht="16.5">
      <c r="A20" s="879" t="s">
        <v>399</v>
      </c>
      <c r="B20" s="718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18">
        <f t="shared" si="0"/>
        <v>0</v>
      </c>
      <c r="Z20" s="716"/>
      <c r="AA20" s="718">
        <f t="shared" si="1"/>
        <v>0</v>
      </c>
    </row>
    <row r="21" spans="1:27" ht="16.5">
      <c r="A21" s="879" t="s">
        <v>400</v>
      </c>
      <c r="B21" s="718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>
        <v>15568</v>
      </c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18">
        <f t="shared" si="0"/>
        <v>15568</v>
      </c>
      <c r="Z21" s="716"/>
      <c r="AA21" s="718">
        <f t="shared" si="1"/>
        <v>15568</v>
      </c>
    </row>
    <row r="22" spans="1:27" ht="17.25" thickBot="1">
      <c r="A22" s="879" t="s">
        <v>401</v>
      </c>
      <c r="B22" s="720"/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20">
        <f t="shared" si="0"/>
        <v>0</v>
      </c>
      <c r="Z22" s="1007"/>
      <c r="AA22" s="720">
        <f t="shared" si="1"/>
        <v>0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W10"/>
  <sheetViews>
    <sheetView zoomScalePageLayoutView="0" workbookViewId="0" topLeftCell="DY2">
      <selection activeCell="F15" sqref="F15"/>
    </sheetView>
  </sheetViews>
  <sheetFormatPr defaultColWidth="8.00390625" defaultRowHeight="15"/>
  <cols>
    <col min="1" max="1" width="8.421875" style="13" customWidth="1"/>
    <col min="2" max="2" width="6.28125" style="13" bestFit="1" customWidth="1"/>
    <col min="3" max="3" width="7.28125" style="13" bestFit="1" customWidth="1"/>
    <col min="4" max="5" width="7.00390625" style="13" bestFit="1" customWidth="1"/>
    <col min="6" max="6" width="7.7109375" style="13" bestFit="1" customWidth="1"/>
    <col min="7" max="7" width="6.421875" style="13" bestFit="1" customWidth="1"/>
    <col min="8" max="8" width="6.28125" style="13" bestFit="1" customWidth="1"/>
    <col min="9" max="9" width="7.28125" style="13" bestFit="1" customWidth="1"/>
    <col min="10" max="10" width="6.421875" style="13" bestFit="1" customWidth="1"/>
    <col min="11" max="11" width="6.28125" style="13" bestFit="1" customWidth="1"/>
    <col min="12" max="12" width="7.28125" style="13" bestFit="1" customWidth="1"/>
    <col min="13" max="13" width="6.421875" style="13" bestFit="1" customWidth="1"/>
    <col min="14" max="14" width="6.28125" style="13" bestFit="1" customWidth="1"/>
    <col min="15" max="15" width="7.28125" style="13" bestFit="1" customWidth="1"/>
    <col min="16" max="16" width="6.421875" style="13" bestFit="1" customWidth="1"/>
    <col min="17" max="17" width="6.28125" style="13" bestFit="1" customWidth="1"/>
    <col min="18" max="18" width="7.28125" style="13" bestFit="1" customWidth="1"/>
    <col min="19" max="19" width="6.421875" style="13" bestFit="1" customWidth="1"/>
    <col min="20" max="20" width="6.28125" style="13" bestFit="1" customWidth="1"/>
    <col min="21" max="21" width="7.28125" style="13" bestFit="1" customWidth="1"/>
    <col min="22" max="23" width="7.00390625" style="13" bestFit="1" customWidth="1"/>
    <col min="24" max="24" width="7.28125" style="13" bestFit="1" customWidth="1"/>
    <col min="25" max="25" width="6.421875" style="13" bestFit="1" customWidth="1"/>
    <col min="26" max="26" width="6.28125" style="13" bestFit="1" customWidth="1"/>
    <col min="27" max="27" width="7.28125" style="13" bestFit="1" customWidth="1"/>
    <col min="28" max="29" width="7.00390625" style="13" bestFit="1" customWidth="1"/>
    <col min="30" max="30" width="7.28125" style="13" bestFit="1" customWidth="1"/>
    <col min="31" max="31" width="6.421875" style="13" bestFit="1" customWidth="1"/>
    <col min="32" max="32" width="6.28125" style="13" bestFit="1" customWidth="1"/>
    <col min="33" max="33" width="7.28125" style="13" bestFit="1" customWidth="1"/>
    <col min="34" max="35" width="7.00390625" style="13" bestFit="1" customWidth="1"/>
    <col min="36" max="36" width="7.28125" style="13" bestFit="1" customWidth="1"/>
    <col min="37" max="37" width="6.421875" style="13" bestFit="1" customWidth="1"/>
    <col min="38" max="38" width="6.28125" style="13" bestFit="1" customWidth="1"/>
    <col min="39" max="39" width="7.28125" style="13" bestFit="1" customWidth="1"/>
    <col min="40" max="40" width="6.421875" style="13" bestFit="1" customWidth="1"/>
    <col min="41" max="41" width="6.28125" style="13" bestFit="1" customWidth="1"/>
    <col min="42" max="42" width="7.28125" style="13" bestFit="1" customWidth="1"/>
    <col min="43" max="43" width="6.421875" style="13" bestFit="1" customWidth="1"/>
    <col min="44" max="44" width="6.28125" style="13" bestFit="1" customWidth="1"/>
    <col min="45" max="45" width="7.28125" style="13" bestFit="1" customWidth="1"/>
    <col min="46" max="46" width="6.421875" style="13" bestFit="1" customWidth="1"/>
    <col min="47" max="47" width="6.28125" style="13" bestFit="1" customWidth="1"/>
    <col min="48" max="48" width="7.28125" style="13" bestFit="1" customWidth="1"/>
    <col min="49" max="49" width="6.421875" style="13" bestFit="1" customWidth="1"/>
    <col min="50" max="50" width="6.28125" style="13" bestFit="1" customWidth="1"/>
    <col min="51" max="51" width="7.28125" style="13" bestFit="1" customWidth="1"/>
    <col min="52" max="53" width="7.00390625" style="13" bestFit="1" customWidth="1"/>
    <col min="54" max="54" width="7.28125" style="13" bestFit="1" customWidth="1"/>
    <col min="55" max="55" width="6.421875" style="13" bestFit="1" customWidth="1"/>
    <col min="56" max="56" width="6.28125" style="13" bestFit="1" customWidth="1"/>
    <col min="57" max="57" width="7.28125" style="13" bestFit="1" customWidth="1"/>
    <col min="58" max="58" width="6.421875" style="13" bestFit="1" customWidth="1"/>
    <col min="59" max="59" width="6.28125" style="13" bestFit="1" customWidth="1"/>
    <col min="60" max="60" width="7.28125" style="13" bestFit="1" customWidth="1"/>
    <col min="61" max="61" width="6.421875" style="13" bestFit="1" customWidth="1"/>
    <col min="62" max="62" width="6.28125" style="13" bestFit="1" customWidth="1"/>
    <col min="63" max="63" width="7.28125" style="13" bestFit="1" customWidth="1"/>
    <col min="64" max="65" width="7.00390625" style="13" bestFit="1" customWidth="1"/>
    <col min="66" max="66" width="8.00390625" style="13" customWidth="1"/>
    <col min="67" max="68" width="7.00390625" style="13" bestFit="1" customWidth="1"/>
    <col min="69" max="69" width="7.28125" style="13" bestFit="1" customWidth="1"/>
    <col min="70" max="71" width="7.00390625" style="13" bestFit="1" customWidth="1"/>
    <col min="72" max="72" width="7.7109375" style="13" bestFit="1" customWidth="1"/>
    <col min="73" max="73" width="6.421875" style="13" bestFit="1" customWidth="1"/>
    <col min="74" max="74" width="6.28125" style="13" bestFit="1" customWidth="1"/>
    <col min="75" max="75" width="7.28125" style="13" bestFit="1" customWidth="1"/>
    <col min="76" max="76" width="6.421875" style="13" bestFit="1" customWidth="1"/>
    <col min="77" max="77" width="6.28125" style="13" bestFit="1" customWidth="1"/>
    <col min="78" max="78" width="7.28125" style="13" bestFit="1" customWidth="1"/>
    <col min="79" max="79" width="6.421875" style="13" bestFit="1" customWidth="1"/>
    <col min="80" max="80" width="6.28125" style="13" bestFit="1" customWidth="1"/>
    <col min="81" max="81" width="7.28125" style="13" bestFit="1" customWidth="1"/>
    <col min="82" max="82" width="6.421875" style="13" bestFit="1" customWidth="1"/>
    <col min="83" max="83" width="6.28125" style="13" bestFit="1" customWidth="1"/>
    <col min="84" max="84" width="7.28125" style="13" bestFit="1" customWidth="1"/>
    <col min="85" max="85" width="6.421875" style="13" bestFit="1" customWidth="1"/>
    <col min="86" max="86" width="6.28125" style="13" bestFit="1" customWidth="1"/>
    <col min="87" max="87" width="7.28125" style="13" bestFit="1" customWidth="1"/>
    <col min="88" max="89" width="7.00390625" style="13" bestFit="1" customWidth="1"/>
    <col min="90" max="90" width="8.00390625" style="13" customWidth="1"/>
    <col min="91" max="92" width="6.7109375" style="13" bestFit="1" customWidth="1"/>
    <col min="93" max="93" width="7.28125" style="13" bestFit="1" customWidth="1"/>
    <col min="94" max="95" width="7.00390625" style="13" bestFit="1" customWidth="1"/>
    <col min="96" max="96" width="7.28125" style="13" bestFit="1" customWidth="1"/>
    <col min="97" max="97" width="6.421875" style="13" bestFit="1" customWidth="1"/>
    <col min="98" max="98" width="6.28125" style="13" bestFit="1" customWidth="1"/>
    <col min="99" max="99" width="7.28125" style="13" bestFit="1" customWidth="1"/>
    <col min="100" max="101" width="7.00390625" style="13" bestFit="1" customWidth="1"/>
    <col min="102" max="102" width="7.28125" style="13" bestFit="1" customWidth="1"/>
    <col min="103" max="103" width="6.421875" style="13" bestFit="1" customWidth="1"/>
    <col min="104" max="104" width="6.28125" style="13" bestFit="1" customWidth="1"/>
    <col min="105" max="105" width="7.28125" style="13" bestFit="1" customWidth="1"/>
    <col min="106" max="107" width="6.421875" style="13" bestFit="1" customWidth="1"/>
    <col min="108" max="108" width="7.28125" style="13" bestFit="1" customWidth="1"/>
    <col min="109" max="109" width="6.421875" style="13" bestFit="1" customWidth="1"/>
    <col min="110" max="110" width="6.28125" style="13" bestFit="1" customWidth="1"/>
    <col min="111" max="111" width="7.28125" style="13" bestFit="1" customWidth="1"/>
    <col min="112" max="112" width="6.421875" style="13" bestFit="1" customWidth="1"/>
    <col min="113" max="113" width="6.28125" style="13" bestFit="1" customWidth="1"/>
    <col min="114" max="114" width="7.28125" style="13" bestFit="1" customWidth="1"/>
    <col min="115" max="116" width="7.421875" style="13" bestFit="1" customWidth="1"/>
    <col min="117" max="117" width="7.28125" style="13" bestFit="1" customWidth="1"/>
    <col min="118" max="119" width="8.8515625" style="13" bestFit="1" customWidth="1"/>
    <col min="120" max="120" width="7.28125" style="13" bestFit="1" customWidth="1"/>
    <col min="121" max="121" width="6.421875" style="13" bestFit="1" customWidth="1"/>
    <col min="122" max="122" width="6.28125" style="13" bestFit="1" customWidth="1"/>
    <col min="123" max="123" width="7.28125" style="13" bestFit="1" customWidth="1"/>
    <col min="124" max="124" width="6.421875" style="13" bestFit="1" customWidth="1"/>
    <col min="125" max="125" width="6.28125" style="13" bestFit="1" customWidth="1"/>
    <col min="126" max="126" width="7.28125" style="13" bestFit="1" customWidth="1"/>
    <col min="127" max="127" width="6.421875" style="13" bestFit="1" customWidth="1"/>
    <col min="128" max="128" width="6.28125" style="13" bestFit="1" customWidth="1"/>
    <col min="129" max="129" width="7.28125" style="13" bestFit="1" customWidth="1"/>
    <col min="130" max="130" width="6.421875" style="13" bestFit="1" customWidth="1"/>
    <col min="131" max="131" width="6.28125" style="13" bestFit="1" customWidth="1"/>
    <col min="132" max="132" width="7.28125" style="13" bestFit="1" customWidth="1"/>
    <col min="133" max="134" width="7.7109375" style="13" bestFit="1" customWidth="1"/>
    <col min="135" max="135" width="7.28125" style="13" bestFit="1" customWidth="1"/>
    <col min="136" max="138" width="7.7109375" style="13" bestFit="1" customWidth="1"/>
    <col min="139" max="139" width="6.421875" style="13" bestFit="1" customWidth="1"/>
    <col min="140" max="140" width="6.28125" style="13" bestFit="1" customWidth="1"/>
    <col min="141" max="141" width="7.28125" style="13" bestFit="1" customWidth="1"/>
    <col min="142" max="142" width="6.421875" style="13" bestFit="1" customWidth="1"/>
    <col min="143" max="143" width="6.28125" style="13" bestFit="1" customWidth="1"/>
    <col min="144" max="144" width="7.28125" style="13" bestFit="1" customWidth="1"/>
    <col min="145" max="146" width="8.00390625" style="44" customWidth="1"/>
    <col min="147" max="147" width="7.28125" style="13" bestFit="1" customWidth="1"/>
    <col min="148" max="149" width="8.00390625" style="13" customWidth="1"/>
    <col min="150" max="150" width="7.28125" style="13" bestFit="1" customWidth="1"/>
    <col min="151" max="16384" width="8.00390625" style="13" customWidth="1"/>
  </cols>
  <sheetData>
    <row r="1" spans="1:144" ht="14.25">
      <c r="A1" s="475" t="s">
        <v>459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5"/>
      <c r="DS1" s="475"/>
      <c r="DT1" s="475"/>
      <c r="DU1" s="475"/>
      <c r="DV1" s="475"/>
      <c r="DW1" s="475"/>
      <c r="DX1" s="475"/>
      <c r="DY1" s="475"/>
      <c r="DZ1" s="475"/>
      <c r="EA1" s="475"/>
      <c r="EB1" s="475"/>
      <c r="EC1" s="475"/>
      <c r="ED1" s="475"/>
      <c r="EE1" s="475"/>
      <c r="EF1" s="475"/>
      <c r="EG1" s="475"/>
      <c r="EH1" s="475"/>
      <c r="EI1" s="475"/>
      <c r="EJ1" s="475"/>
      <c r="EK1" s="475"/>
      <c r="EL1" s="475"/>
      <c r="EM1" s="475"/>
      <c r="EN1" s="475"/>
    </row>
    <row r="2" spans="1:144" ht="17.25" thickBot="1">
      <c r="A2" s="1763" t="s">
        <v>460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P2" s="1763"/>
      <c r="Q2" s="1763"/>
      <c r="R2" s="1763"/>
      <c r="S2" s="1763"/>
      <c r="T2" s="1763"/>
      <c r="U2" s="1763"/>
      <c r="V2" s="1763"/>
      <c r="W2" s="1763"/>
      <c r="X2" s="1763"/>
      <c r="Y2" s="1763"/>
      <c r="Z2" s="1763"/>
      <c r="AA2" s="1763"/>
      <c r="AB2" s="1763"/>
      <c r="AC2" s="1763"/>
      <c r="AD2" s="1763"/>
      <c r="AE2" s="1763"/>
      <c r="AF2" s="1763"/>
      <c r="AG2" s="1763"/>
      <c r="AH2" s="1763"/>
      <c r="AI2" s="1763"/>
      <c r="AJ2" s="1763"/>
      <c r="AK2" s="1763"/>
      <c r="AL2" s="1763"/>
      <c r="AM2" s="1763"/>
      <c r="AN2" s="1763"/>
      <c r="AO2" s="1763"/>
      <c r="AP2" s="1763"/>
      <c r="AQ2" s="1763"/>
      <c r="AR2" s="1763"/>
      <c r="AS2" s="1763"/>
      <c r="AT2" s="1763"/>
      <c r="AU2" s="1763"/>
      <c r="AV2" s="1763"/>
      <c r="AW2" s="1763"/>
      <c r="AX2" s="1763"/>
      <c r="AY2" s="1763"/>
      <c r="AZ2" s="1763"/>
      <c r="BA2" s="1763"/>
      <c r="BB2" s="1763"/>
      <c r="BC2" s="1763"/>
      <c r="BD2" s="1763"/>
      <c r="BE2" s="1763"/>
      <c r="BF2" s="1763"/>
      <c r="BG2" s="1763"/>
      <c r="BH2" s="1763"/>
      <c r="BI2" s="1763"/>
      <c r="BJ2" s="1763"/>
      <c r="BK2" s="1763"/>
      <c r="BL2" s="1763"/>
      <c r="BM2" s="1763"/>
      <c r="BN2" s="1763"/>
      <c r="BO2" s="1763"/>
      <c r="BP2" s="1763"/>
      <c r="BQ2" s="1763"/>
      <c r="BR2" s="1763"/>
      <c r="BS2" s="1763"/>
      <c r="BT2" s="1763"/>
      <c r="BU2" s="1763"/>
      <c r="BV2" s="1763"/>
      <c r="BW2" s="1763"/>
      <c r="BX2" s="1763"/>
      <c r="BY2" s="1763"/>
      <c r="BZ2" s="1763"/>
      <c r="CA2" s="1763"/>
      <c r="CB2" s="1763"/>
      <c r="CC2" s="1763"/>
      <c r="CD2" s="1763"/>
      <c r="CE2" s="1763"/>
      <c r="CF2" s="1763"/>
      <c r="CG2" s="1763"/>
      <c r="CH2" s="1763"/>
      <c r="CI2" s="1763"/>
      <c r="CJ2" s="1763"/>
      <c r="CK2" s="1763"/>
      <c r="CL2" s="1763"/>
      <c r="CM2" s="1763"/>
      <c r="CN2" s="1763"/>
      <c r="CO2" s="1763"/>
      <c r="CP2" s="1763"/>
      <c r="CQ2" s="1763"/>
      <c r="CR2" s="1763"/>
      <c r="CS2" s="1763"/>
      <c r="CT2" s="1763"/>
      <c r="CU2" s="1763"/>
      <c r="CV2" s="1763"/>
      <c r="CW2" s="1763"/>
      <c r="CX2" s="1763"/>
      <c r="CY2" s="1763"/>
      <c r="CZ2" s="1763"/>
      <c r="DA2" s="1763"/>
      <c r="DB2" s="1763"/>
      <c r="DC2" s="1763"/>
      <c r="DD2" s="1763"/>
      <c r="DE2" s="1763"/>
      <c r="DF2" s="1763"/>
      <c r="DG2" s="1763"/>
      <c r="DH2" s="1763"/>
      <c r="DI2" s="1763"/>
      <c r="DJ2" s="1763"/>
      <c r="DK2" s="1763"/>
      <c r="DL2" s="1763"/>
      <c r="DM2" s="1763"/>
      <c r="DN2" s="1763"/>
      <c r="DO2" s="1763"/>
      <c r="DP2" s="1763"/>
      <c r="DQ2" s="1763"/>
      <c r="DR2" s="1763"/>
      <c r="DS2" s="1763"/>
      <c r="DT2" s="1763"/>
      <c r="DU2" s="1763"/>
      <c r="DV2" s="1763"/>
      <c r="DW2" s="1763"/>
      <c r="DX2" s="1763"/>
      <c r="DY2" s="1763"/>
      <c r="DZ2" s="1763"/>
      <c r="EA2" s="1763"/>
      <c r="EB2" s="1763"/>
      <c r="EC2" s="1763"/>
      <c r="ED2" s="1763"/>
      <c r="EE2" s="1763"/>
      <c r="EF2" s="1763"/>
      <c r="EG2" s="1763"/>
      <c r="EH2" s="1763"/>
      <c r="EI2" s="1763"/>
      <c r="EJ2" s="1763"/>
      <c r="EK2" s="1763"/>
      <c r="EL2" s="1763"/>
      <c r="EM2" s="1763"/>
      <c r="EN2" s="1763"/>
    </row>
    <row r="3" spans="1:150" ht="27.75" customHeight="1" thickBot="1">
      <c r="A3" s="1764" t="s">
        <v>461</v>
      </c>
      <c r="B3" s="1765"/>
      <c r="C3" s="1765"/>
      <c r="D3" s="1765"/>
      <c r="E3" s="1765"/>
      <c r="F3" s="1766"/>
      <c r="G3" s="1767" t="s">
        <v>185</v>
      </c>
      <c r="H3" s="1768"/>
      <c r="I3" s="1768"/>
      <c r="J3" s="1768"/>
      <c r="K3" s="1768"/>
      <c r="L3" s="1769"/>
      <c r="M3" s="1770" t="s">
        <v>186</v>
      </c>
      <c r="N3" s="1770"/>
      <c r="O3" s="1770"/>
      <c r="P3" s="1770"/>
      <c r="Q3" s="1770"/>
      <c r="R3" s="1771"/>
      <c r="S3" s="1772" t="s">
        <v>462</v>
      </c>
      <c r="T3" s="1773"/>
      <c r="U3" s="1773"/>
      <c r="V3" s="1773"/>
      <c r="W3" s="1773"/>
      <c r="X3" s="1774"/>
      <c r="Y3" s="1772" t="s">
        <v>463</v>
      </c>
      <c r="Z3" s="1773"/>
      <c r="AA3" s="1773"/>
      <c r="AB3" s="1773"/>
      <c r="AC3" s="1773"/>
      <c r="AD3" s="1774"/>
      <c r="AE3" s="1767" t="s">
        <v>464</v>
      </c>
      <c r="AF3" s="1768"/>
      <c r="AG3" s="1768"/>
      <c r="AH3" s="1768"/>
      <c r="AI3" s="1768"/>
      <c r="AJ3" s="1769"/>
      <c r="AK3" s="1767" t="s">
        <v>528</v>
      </c>
      <c r="AL3" s="1768"/>
      <c r="AM3" s="1768"/>
      <c r="AN3" s="1768"/>
      <c r="AO3" s="1768"/>
      <c r="AP3" s="1769"/>
      <c r="AQ3" s="1767" t="s">
        <v>255</v>
      </c>
      <c r="AR3" s="1768"/>
      <c r="AS3" s="1768"/>
      <c r="AT3" s="1768"/>
      <c r="AU3" s="1768"/>
      <c r="AV3" s="1769"/>
      <c r="AW3" s="1775" t="s">
        <v>465</v>
      </c>
      <c r="AX3" s="1776"/>
      <c r="AY3" s="1776"/>
      <c r="AZ3" s="1776"/>
      <c r="BA3" s="1776"/>
      <c r="BB3" s="1777"/>
      <c r="BC3" s="1778" t="s">
        <v>606</v>
      </c>
      <c r="BD3" s="1779"/>
      <c r="BE3" s="1779"/>
      <c r="BF3" s="1779"/>
      <c r="BG3" s="1779"/>
      <c r="BH3" s="1780"/>
      <c r="BI3" s="1417"/>
      <c r="BJ3" s="1781" t="s">
        <v>466</v>
      </c>
      <c r="BK3" s="1779"/>
      <c r="BL3" s="1779"/>
      <c r="BM3" s="1779"/>
      <c r="BN3" s="1780"/>
      <c r="BO3" s="1767" t="s">
        <v>241</v>
      </c>
      <c r="BP3" s="1768"/>
      <c r="BQ3" s="1768"/>
      <c r="BR3" s="1768"/>
      <c r="BS3" s="1768"/>
      <c r="BT3" s="1769"/>
      <c r="BU3" s="1782" t="s">
        <v>217</v>
      </c>
      <c r="BV3" s="1783"/>
      <c r="BW3" s="1783"/>
      <c r="BX3" s="1783"/>
      <c r="BY3" s="1783"/>
      <c r="BZ3" s="1784"/>
      <c r="CA3" s="1778" t="s">
        <v>196</v>
      </c>
      <c r="CB3" s="1779"/>
      <c r="CC3" s="1779"/>
      <c r="CD3" s="1779"/>
      <c r="CE3" s="1779"/>
      <c r="CF3" s="1780"/>
      <c r="CG3" s="1785" t="s">
        <v>197</v>
      </c>
      <c r="CH3" s="1786"/>
      <c r="CI3" s="1786"/>
      <c r="CJ3" s="1786"/>
      <c r="CK3" s="1786"/>
      <c r="CL3" s="1787"/>
      <c r="CM3" s="1767" t="s">
        <v>198</v>
      </c>
      <c r="CN3" s="1768"/>
      <c r="CO3" s="1768"/>
      <c r="CP3" s="1768"/>
      <c r="CQ3" s="1768"/>
      <c r="CR3" s="1769"/>
      <c r="CS3" s="1778" t="s">
        <v>467</v>
      </c>
      <c r="CT3" s="1779"/>
      <c r="CU3" s="1779"/>
      <c r="CV3" s="1779"/>
      <c r="CW3" s="1779"/>
      <c r="CX3" s="1780"/>
      <c r="CY3" s="1778" t="s">
        <v>236</v>
      </c>
      <c r="CZ3" s="1779"/>
      <c r="DA3" s="1779"/>
      <c r="DB3" s="1779"/>
      <c r="DC3" s="1779"/>
      <c r="DD3" s="1780"/>
      <c r="DE3" s="1785" t="s">
        <v>201</v>
      </c>
      <c r="DF3" s="1786"/>
      <c r="DG3" s="1786"/>
      <c r="DH3" s="1786"/>
      <c r="DI3" s="1786"/>
      <c r="DJ3" s="1787"/>
      <c r="DK3" s="1767" t="s">
        <v>233</v>
      </c>
      <c r="DL3" s="1768"/>
      <c r="DM3" s="1768"/>
      <c r="DN3" s="1768"/>
      <c r="DO3" s="1768"/>
      <c r="DP3" s="1769"/>
      <c r="DQ3" s="1767" t="s">
        <v>468</v>
      </c>
      <c r="DR3" s="1768"/>
      <c r="DS3" s="1768"/>
      <c r="DT3" s="1768"/>
      <c r="DU3" s="1768"/>
      <c r="DV3" s="1769"/>
      <c r="DW3" s="1767" t="s">
        <v>204</v>
      </c>
      <c r="DX3" s="1768"/>
      <c r="DY3" s="1768"/>
      <c r="DZ3" s="1768"/>
      <c r="EA3" s="1768"/>
      <c r="EB3" s="1769"/>
      <c r="EC3" s="1788" t="s">
        <v>205</v>
      </c>
      <c r="ED3" s="1789"/>
      <c r="EE3" s="1789"/>
      <c r="EF3" s="1789"/>
      <c r="EG3" s="1789"/>
      <c r="EH3" s="1790"/>
      <c r="EI3" s="1791" t="s">
        <v>206</v>
      </c>
      <c r="EJ3" s="1792"/>
      <c r="EK3" s="1792"/>
      <c r="EL3" s="1792"/>
      <c r="EM3" s="1792"/>
      <c r="EN3" s="1793"/>
      <c r="EO3" s="1791" t="s">
        <v>469</v>
      </c>
      <c r="EP3" s="1792"/>
      <c r="EQ3" s="1792"/>
      <c r="ER3" s="1792"/>
      <c r="ES3" s="1792"/>
      <c r="ET3" s="1793"/>
    </row>
    <row r="4" spans="1:150" s="873" customFormat="1" ht="16.5" customHeight="1" thickBot="1">
      <c r="A4" s="1794" t="s">
        <v>470</v>
      </c>
      <c r="B4" s="1795"/>
      <c r="C4" s="1796"/>
      <c r="D4" s="1795" t="s">
        <v>471</v>
      </c>
      <c r="E4" s="1795"/>
      <c r="F4" s="1796"/>
      <c r="G4" s="1794" t="s">
        <v>470</v>
      </c>
      <c r="H4" s="1795"/>
      <c r="I4" s="1796"/>
      <c r="J4" s="1795" t="s">
        <v>471</v>
      </c>
      <c r="K4" s="1795"/>
      <c r="L4" s="1796"/>
      <c r="M4" s="1794" t="s">
        <v>470</v>
      </c>
      <c r="N4" s="1795"/>
      <c r="O4" s="1796"/>
      <c r="P4" s="1794" t="s">
        <v>471</v>
      </c>
      <c r="Q4" s="1795"/>
      <c r="R4" s="1796"/>
      <c r="S4" s="1794" t="s">
        <v>470</v>
      </c>
      <c r="T4" s="1795"/>
      <c r="U4" s="1796"/>
      <c r="V4" s="1794" t="s">
        <v>471</v>
      </c>
      <c r="W4" s="1795"/>
      <c r="X4" s="1796"/>
      <c r="Y4" s="1794" t="s">
        <v>470</v>
      </c>
      <c r="Z4" s="1795"/>
      <c r="AA4" s="1796"/>
      <c r="AB4" s="1794" t="s">
        <v>471</v>
      </c>
      <c r="AC4" s="1795"/>
      <c r="AD4" s="1796"/>
      <c r="AE4" s="1794" t="s">
        <v>470</v>
      </c>
      <c r="AF4" s="1795"/>
      <c r="AG4" s="1796"/>
      <c r="AH4" s="1795" t="s">
        <v>471</v>
      </c>
      <c r="AI4" s="1795"/>
      <c r="AJ4" s="1796"/>
      <c r="AK4" s="1794" t="s">
        <v>470</v>
      </c>
      <c r="AL4" s="1795"/>
      <c r="AM4" s="1796"/>
      <c r="AN4" s="1795" t="s">
        <v>471</v>
      </c>
      <c r="AO4" s="1795"/>
      <c r="AP4" s="1796"/>
      <c r="AQ4" s="1794" t="s">
        <v>470</v>
      </c>
      <c r="AR4" s="1795"/>
      <c r="AS4" s="1796"/>
      <c r="AT4" s="1794" t="s">
        <v>471</v>
      </c>
      <c r="AU4" s="1795"/>
      <c r="AV4" s="1796"/>
      <c r="AW4" s="1794" t="s">
        <v>470</v>
      </c>
      <c r="AX4" s="1795"/>
      <c r="AY4" s="1796"/>
      <c r="AZ4" s="1794" t="s">
        <v>471</v>
      </c>
      <c r="BA4" s="1795"/>
      <c r="BB4" s="1796"/>
      <c r="BC4" s="1794" t="s">
        <v>470</v>
      </c>
      <c r="BD4" s="1795"/>
      <c r="BE4" s="1796"/>
      <c r="BF4" s="1794" t="s">
        <v>471</v>
      </c>
      <c r="BG4" s="1795"/>
      <c r="BH4" s="1796"/>
      <c r="BI4" s="1794" t="s">
        <v>470</v>
      </c>
      <c r="BJ4" s="1795"/>
      <c r="BK4" s="1796"/>
      <c r="BL4" s="1794" t="s">
        <v>471</v>
      </c>
      <c r="BM4" s="1795"/>
      <c r="BN4" s="1796"/>
      <c r="BO4" s="1794" t="s">
        <v>470</v>
      </c>
      <c r="BP4" s="1795"/>
      <c r="BQ4" s="1796"/>
      <c r="BR4" s="1794" t="s">
        <v>471</v>
      </c>
      <c r="BS4" s="1795"/>
      <c r="BT4" s="1796"/>
      <c r="BU4" s="1794" t="s">
        <v>470</v>
      </c>
      <c r="BV4" s="1795"/>
      <c r="BW4" s="1796"/>
      <c r="BX4" s="1795" t="s">
        <v>471</v>
      </c>
      <c r="BY4" s="1795"/>
      <c r="BZ4" s="1796"/>
      <c r="CA4" s="1797" t="s">
        <v>470</v>
      </c>
      <c r="CB4" s="1798"/>
      <c r="CC4" s="1799"/>
      <c r="CD4" s="1797" t="s">
        <v>471</v>
      </c>
      <c r="CE4" s="1798"/>
      <c r="CF4" s="1799"/>
      <c r="CG4" s="1794" t="s">
        <v>470</v>
      </c>
      <c r="CH4" s="1795"/>
      <c r="CI4" s="1796"/>
      <c r="CJ4" s="1794" t="s">
        <v>471</v>
      </c>
      <c r="CK4" s="1795"/>
      <c r="CL4" s="1796"/>
      <c r="CM4" s="1794" t="s">
        <v>470</v>
      </c>
      <c r="CN4" s="1795"/>
      <c r="CO4" s="1796"/>
      <c r="CP4" s="1794" t="s">
        <v>471</v>
      </c>
      <c r="CQ4" s="1795"/>
      <c r="CR4" s="1796"/>
      <c r="CS4" s="1794" t="s">
        <v>470</v>
      </c>
      <c r="CT4" s="1795"/>
      <c r="CU4" s="1796"/>
      <c r="CV4" s="1794" t="s">
        <v>471</v>
      </c>
      <c r="CW4" s="1795"/>
      <c r="CX4" s="1796"/>
      <c r="CY4" s="1794" t="s">
        <v>470</v>
      </c>
      <c r="CZ4" s="1795"/>
      <c r="DA4" s="1796"/>
      <c r="DB4" s="1798" t="s">
        <v>471</v>
      </c>
      <c r="DC4" s="1798"/>
      <c r="DD4" s="1799"/>
      <c r="DE4" s="1794" t="s">
        <v>470</v>
      </c>
      <c r="DF4" s="1795"/>
      <c r="DG4" s="1796"/>
      <c r="DH4" s="1795" t="s">
        <v>471</v>
      </c>
      <c r="DI4" s="1795"/>
      <c r="DJ4" s="1796"/>
      <c r="DK4" s="1797" t="s">
        <v>470</v>
      </c>
      <c r="DL4" s="1798"/>
      <c r="DM4" s="1799"/>
      <c r="DN4" s="1798" t="s">
        <v>471</v>
      </c>
      <c r="DO4" s="1798"/>
      <c r="DP4" s="1799"/>
      <c r="DQ4" s="1795" t="s">
        <v>470</v>
      </c>
      <c r="DR4" s="1795"/>
      <c r="DS4" s="1796"/>
      <c r="DT4" s="1795" t="s">
        <v>471</v>
      </c>
      <c r="DU4" s="1795"/>
      <c r="DV4" s="1796"/>
      <c r="DW4" s="1794" t="s">
        <v>470</v>
      </c>
      <c r="DX4" s="1795"/>
      <c r="DY4" s="1796"/>
      <c r="DZ4" s="1794" t="s">
        <v>471</v>
      </c>
      <c r="EA4" s="1795"/>
      <c r="EB4" s="1796"/>
      <c r="EC4" s="1794" t="s">
        <v>470</v>
      </c>
      <c r="ED4" s="1795"/>
      <c r="EE4" s="1796"/>
      <c r="EF4" s="1795" t="s">
        <v>471</v>
      </c>
      <c r="EG4" s="1795"/>
      <c r="EH4" s="1796"/>
      <c r="EI4" s="1794" t="s">
        <v>470</v>
      </c>
      <c r="EJ4" s="1795"/>
      <c r="EK4" s="1796"/>
      <c r="EL4" s="1795" t="s">
        <v>471</v>
      </c>
      <c r="EM4" s="1795"/>
      <c r="EN4" s="1796"/>
      <c r="EO4" s="1794" t="s">
        <v>470</v>
      </c>
      <c r="EP4" s="1795"/>
      <c r="EQ4" s="1796"/>
      <c r="ER4" s="1795" t="s">
        <v>471</v>
      </c>
      <c r="ES4" s="1795"/>
      <c r="ET4" s="1796"/>
    </row>
    <row r="5" spans="1:150" s="873" customFormat="1" ht="43.5" thickBot="1">
      <c r="A5" s="1420" t="s">
        <v>472</v>
      </c>
      <c r="B5" s="1421" t="s">
        <v>473</v>
      </c>
      <c r="C5" s="1422" t="s">
        <v>474</v>
      </c>
      <c r="D5" s="1423" t="s">
        <v>472</v>
      </c>
      <c r="E5" s="1423" t="s">
        <v>473</v>
      </c>
      <c r="F5" s="1424" t="s">
        <v>475</v>
      </c>
      <c r="G5" s="1601" t="s">
        <v>472</v>
      </c>
      <c r="H5" s="1423" t="s">
        <v>473</v>
      </c>
      <c r="I5" s="1424" t="s">
        <v>474</v>
      </c>
      <c r="J5" s="1423" t="s">
        <v>472</v>
      </c>
      <c r="K5" s="1423" t="s">
        <v>473</v>
      </c>
      <c r="L5" s="1424" t="s">
        <v>475</v>
      </c>
      <c r="M5" s="1601" t="s">
        <v>472</v>
      </c>
      <c r="N5" s="1423" t="s">
        <v>473</v>
      </c>
      <c r="O5" s="1424" t="s">
        <v>475</v>
      </c>
      <c r="P5" s="1423" t="s">
        <v>472</v>
      </c>
      <c r="Q5" s="1423" t="s">
        <v>473</v>
      </c>
      <c r="R5" s="1424" t="s">
        <v>475</v>
      </c>
      <c r="S5" s="1418" t="s">
        <v>472</v>
      </c>
      <c r="T5" s="1425" t="s">
        <v>473</v>
      </c>
      <c r="U5" s="1419" t="s">
        <v>475</v>
      </c>
      <c r="V5" s="1418" t="s">
        <v>472</v>
      </c>
      <c r="W5" s="1425" t="s">
        <v>473</v>
      </c>
      <c r="X5" s="1419" t="s">
        <v>475</v>
      </c>
      <c r="Y5" s="1418" t="s">
        <v>472</v>
      </c>
      <c r="Z5" s="1425" t="s">
        <v>473</v>
      </c>
      <c r="AA5" s="1419" t="s">
        <v>475</v>
      </c>
      <c r="AB5" s="1418" t="s">
        <v>472</v>
      </c>
      <c r="AC5" s="1425" t="s">
        <v>473</v>
      </c>
      <c r="AD5" s="1419" t="s">
        <v>475</v>
      </c>
      <c r="AE5" s="1418" t="s">
        <v>472</v>
      </c>
      <c r="AF5" s="1425" t="s">
        <v>473</v>
      </c>
      <c r="AG5" s="1419" t="s">
        <v>475</v>
      </c>
      <c r="AH5" s="1425" t="s">
        <v>472</v>
      </c>
      <c r="AI5" s="1425" t="s">
        <v>473</v>
      </c>
      <c r="AJ5" s="1419" t="s">
        <v>475</v>
      </c>
      <c r="AK5" s="1429" t="s">
        <v>472</v>
      </c>
      <c r="AL5" s="1430" t="s">
        <v>473</v>
      </c>
      <c r="AM5" s="1431" t="s">
        <v>475</v>
      </c>
      <c r="AN5" s="1430" t="s">
        <v>472</v>
      </c>
      <c r="AO5" s="1430" t="s">
        <v>473</v>
      </c>
      <c r="AP5" s="1431" t="s">
        <v>475</v>
      </c>
      <c r="AQ5" s="1418" t="s">
        <v>472</v>
      </c>
      <c r="AR5" s="1425" t="s">
        <v>473</v>
      </c>
      <c r="AS5" s="1419" t="s">
        <v>475</v>
      </c>
      <c r="AT5" s="1418" t="s">
        <v>472</v>
      </c>
      <c r="AU5" s="1425" t="s">
        <v>473</v>
      </c>
      <c r="AV5" s="1419" t="s">
        <v>475</v>
      </c>
      <c r="AW5" s="1418" t="s">
        <v>472</v>
      </c>
      <c r="AX5" s="1425" t="s">
        <v>473</v>
      </c>
      <c r="AY5" s="1419" t="s">
        <v>475</v>
      </c>
      <c r="AZ5" s="1418" t="s">
        <v>472</v>
      </c>
      <c r="BA5" s="1425" t="s">
        <v>473</v>
      </c>
      <c r="BB5" s="1419" t="s">
        <v>475</v>
      </c>
      <c r="BC5" s="1418" t="s">
        <v>472</v>
      </c>
      <c r="BD5" s="1425" t="s">
        <v>473</v>
      </c>
      <c r="BE5" s="1419" t="s">
        <v>475</v>
      </c>
      <c r="BF5" s="1418" t="s">
        <v>472</v>
      </c>
      <c r="BG5" s="1425" t="s">
        <v>473</v>
      </c>
      <c r="BH5" s="1419" t="s">
        <v>475</v>
      </c>
      <c r="BI5" s="1418" t="s">
        <v>472</v>
      </c>
      <c r="BJ5" s="1425" t="s">
        <v>473</v>
      </c>
      <c r="BK5" s="1419" t="s">
        <v>475</v>
      </c>
      <c r="BL5" s="1418" t="s">
        <v>472</v>
      </c>
      <c r="BM5" s="1425" t="s">
        <v>473</v>
      </c>
      <c r="BN5" s="1419" t="s">
        <v>475</v>
      </c>
      <c r="BO5" s="1418" t="s">
        <v>472</v>
      </c>
      <c r="BP5" s="1425" t="s">
        <v>473</v>
      </c>
      <c r="BQ5" s="1419" t="s">
        <v>475</v>
      </c>
      <c r="BR5" s="1418" t="s">
        <v>472</v>
      </c>
      <c r="BS5" s="1425" t="s">
        <v>473</v>
      </c>
      <c r="BT5" s="1419" t="s">
        <v>475</v>
      </c>
      <c r="BU5" s="1418" t="s">
        <v>472</v>
      </c>
      <c r="BV5" s="1425" t="s">
        <v>473</v>
      </c>
      <c r="BW5" s="1419" t="s">
        <v>475</v>
      </c>
      <c r="BX5" s="1425" t="s">
        <v>472</v>
      </c>
      <c r="BY5" s="1425" t="s">
        <v>473</v>
      </c>
      <c r="BZ5" s="1419" t="s">
        <v>475</v>
      </c>
      <c r="CA5" s="1418" t="s">
        <v>472</v>
      </c>
      <c r="CB5" s="1636" t="s">
        <v>473</v>
      </c>
      <c r="CC5" s="1419" t="s">
        <v>475</v>
      </c>
      <c r="CD5" s="1418" t="s">
        <v>472</v>
      </c>
      <c r="CE5" s="1636" t="s">
        <v>473</v>
      </c>
      <c r="CF5" s="1419" t="s">
        <v>475</v>
      </c>
      <c r="CG5" s="1418" t="s">
        <v>472</v>
      </c>
      <c r="CH5" s="1425" t="s">
        <v>473</v>
      </c>
      <c r="CI5" s="1419" t="s">
        <v>475</v>
      </c>
      <c r="CJ5" s="1418" t="s">
        <v>472</v>
      </c>
      <c r="CK5" s="1425" t="s">
        <v>473</v>
      </c>
      <c r="CL5" s="1419" t="s">
        <v>475</v>
      </c>
      <c r="CM5" s="1429" t="s">
        <v>472</v>
      </c>
      <c r="CN5" s="1430" t="s">
        <v>473</v>
      </c>
      <c r="CO5" s="1431" t="s">
        <v>475</v>
      </c>
      <c r="CP5" s="1429" t="s">
        <v>472</v>
      </c>
      <c r="CQ5" s="1430" t="s">
        <v>473</v>
      </c>
      <c r="CR5" s="1431" t="s">
        <v>475</v>
      </c>
      <c r="CS5" s="1418" t="s">
        <v>472</v>
      </c>
      <c r="CT5" s="1425" t="s">
        <v>473</v>
      </c>
      <c r="CU5" s="1419" t="s">
        <v>475</v>
      </c>
      <c r="CV5" s="1418" t="s">
        <v>472</v>
      </c>
      <c r="CW5" s="1425" t="s">
        <v>473</v>
      </c>
      <c r="CX5" s="1419" t="s">
        <v>475</v>
      </c>
      <c r="CY5" s="1429" t="s">
        <v>472</v>
      </c>
      <c r="CZ5" s="1430" t="s">
        <v>473</v>
      </c>
      <c r="DA5" s="1431" t="s">
        <v>475</v>
      </c>
      <c r="DB5" s="1426" t="s">
        <v>472</v>
      </c>
      <c r="DC5" s="1427" t="s">
        <v>473</v>
      </c>
      <c r="DD5" s="1428" t="s">
        <v>475</v>
      </c>
      <c r="DE5" s="1425" t="s">
        <v>472</v>
      </c>
      <c r="DF5" s="1425" t="s">
        <v>473</v>
      </c>
      <c r="DG5" s="1419" t="s">
        <v>475</v>
      </c>
      <c r="DH5" s="1425" t="s">
        <v>472</v>
      </c>
      <c r="DI5" s="1425" t="s">
        <v>473</v>
      </c>
      <c r="DJ5" s="1425" t="s">
        <v>475</v>
      </c>
      <c r="DK5" s="1671" t="s">
        <v>472</v>
      </c>
      <c r="DL5" s="1636" t="s">
        <v>473</v>
      </c>
      <c r="DM5" s="1672" t="s">
        <v>475</v>
      </c>
      <c r="DN5" s="1673" t="s">
        <v>472</v>
      </c>
      <c r="DO5" s="1636" t="s">
        <v>473</v>
      </c>
      <c r="DP5" s="1672" t="s">
        <v>475</v>
      </c>
      <c r="DQ5" s="1425" t="s">
        <v>472</v>
      </c>
      <c r="DR5" s="1425" t="s">
        <v>473</v>
      </c>
      <c r="DS5" s="1419" t="s">
        <v>475</v>
      </c>
      <c r="DT5" s="1425" t="s">
        <v>472</v>
      </c>
      <c r="DU5" s="1425" t="s">
        <v>473</v>
      </c>
      <c r="DV5" s="1419" t="s">
        <v>475</v>
      </c>
      <c r="DW5" s="1429" t="s">
        <v>472</v>
      </c>
      <c r="DX5" s="1430" t="s">
        <v>473</v>
      </c>
      <c r="DY5" s="1431" t="s">
        <v>475</v>
      </c>
      <c r="DZ5" s="1429" t="s">
        <v>472</v>
      </c>
      <c r="EA5" s="1430" t="s">
        <v>473</v>
      </c>
      <c r="EB5" s="1431" t="s">
        <v>475</v>
      </c>
      <c r="EC5" s="1418" t="s">
        <v>472</v>
      </c>
      <c r="ED5" s="1425" t="s">
        <v>473</v>
      </c>
      <c r="EE5" s="1419" t="s">
        <v>475</v>
      </c>
      <c r="EF5" s="1425" t="s">
        <v>472</v>
      </c>
      <c r="EG5" s="1425" t="s">
        <v>473</v>
      </c>
      <c r="EH5" s="1419" t="s">
        <v>475</v>
      </c>
      <c r="EI5" s="1418" t="s">
        <v>472</v>
      </c>
      <c r="EJ5" s="1425" t="s">
        <v>473</v>
      </c>
      <c r="EK5" s="1419" t="s">
        <v>475</v>
      </c>
      <c r="EL5" s="1425" t="s">
        <v>472</v>
      </c>
      <c r="EM5" s="1425" t="s">
        <v>473</v>
      </c>
      <c r="EN5" s="1419" t="s">
        <v>475</v>
      </c>
      <c r="EO5" s="1432" t="s">
        <v>472</v>
      </c>
      <c r="EP5" s="1433" t="s">
        <v>473</v>
      </c>
      <c r="EQ5" s="1419" t="s">
        <v>475</v>
      </c>
      <c r="ER5" s="1425" t="s">
        <v>472</v>
      </c>
      <c r="ES5" s="1425" t="s">
        <v>473</v>
      </c>
      <c r="ET5" s="1419" t="s">
        <v>475</v>
      </c>
    </row>
    <row r="6" spans="1:153" s="1220" customFormat="1" ht="14.25">
      <c r="A6" s="1598">
        <v>64286</v>
      </c>
      <c r="B6" s="1599">
        <v>68342</v>
      </c>
      <c r="C6" s="1434">
        <v>230</v>
      </c>
      <c r="D6" s="1600">
        <v>197536</v>
      </c>
      <c r="E6" s="1599">
        <v>210140</v>
      </c>
      <c r="F6" s="1434">
        <v>1574</v>
      </c>
      <c r="G6" s="1435">
        <v>14988</v>
      </c>
      <c r="H6" s="1436">
        <v>14992</v>
      </c>
      <c r="I6" s="1437">
        <v>0.53</v>
      </c>
      <c r="J6" s="1438">
        <v>22385</v>
      </c>
      <c r="K6" s="1436">
        <v>18847</v>
      </c>
      <c r="L6" s="1437">
        <v>72.66</v>
      </c>
      <c r="M6" s="1435"/>
      <c r="N6" s="1438"/>
      <c r="O6" s="1437"/>
      <c r="P6" s="1438"/>
      <c r="Q6" s="1436"/>
      <c r="R6" s="1437"/>
      <c r="S6" s="1435">
        <v>85343</v>
      </c>
      <c r="T6" s="1438">
        <v>78370</v>
      </c>
      <c r="U6" s="1437">
        <v>354</v>
      </c>
      <c r="V6" s="1435">
        <v>226075</v>
      </c>
      <c r="W6" s="1436">
        <v>194156</v>
      </c>
      <c r="X6" s="1437">
        <v>1645</v>
      </c>
      <c r="Y6" s="1435">
        <v>63633</v>
      </c>
      <c r="Z6" s="1438">
        <v>63642</v>
      </c>
      <c r="AA6" s="1437">
        <v>123</v>
      </c>
      <c r="AB6" s="1435">
        <v>143979</v>
      </c>
      <c r="AC6" s="1436">
        <v>144002</v>
      </c>
      <c r="AD6" s="1437">
        <v>512</v>
      </c>
      <c r="AE6" s="1435">
        <v>44481</v>
      </c>
      <c r="AF6" s="1436">
        <v>42420</v>
      </c>
      <c r="AG6" s="1437">
        <v>197.2</v>
      </c>
      <c r="AH6" s="1438">
        <v>324192</v>
      </c>
      <c r="AI6" s="1436">
        <v>105423</v>
      </c>
      <c r="AJ6" s="1602">
        <v>895.52</v>
      </c>
      <c r="AK6" s="1598">
        <v>15426</v>
      </c>
      <c r="AL6" s="1599">
        <v>15256</v>
      </c>
      <c r="AM6" s="1434">
        <v>57.1</v>
      </c>
      <c r="AN6" s="1600">
        <v>24413</v>
      </c>
      <c r="AO6" s="1599">
        <v>24463</v>
      </c>
      <c r="AP6" s="1434">
        <v>108.78</v>
      </c>
      <c r="AQ6" s="1438">
        <v>17473</v>
      </c>
      <c r="AR6" s="1436">
        <v>16790</v>
      </c>
      <c r="AS6" s="1437">
        <v>41.82</v>
      </c>
      <c r="AT6" s="1435">
        <v>62427</v>
      </c>
      <c r="AU6" s="1436">
        <v>57538</v>
      </c>
      <c r="AV6" s="1437">
        <v>289.3</v>
      </c>
      <c r="AW6" s="1435">
        <v>48990</v>
      </c>
      <c r="AX6" s="1436">
        <v>48215</v>
      </c>
      <c r="AY6" s="1437">
        <v>133.13</v>
      </c>
      <c r="AZ6" s="1435">
        <v>141423</v>
      </c>
      <c r="BA6" s="1436">
        <v>136064</v>
      </c>
      <c r="BB6" s="1437">
        <v>640.22</v>
      </c>
      <c r="BC6" s="1435">
        <v>14960</v>
      </c>
      <c r="BD6" s="1436">
        <v>14445</v>
      </c>
      <c r="BE6" s="1437">
        <v>57.22</v>
      </c>
      <c r="BF6" s="1435">
        <v>50311</v>
      </c>
      <c r="BG6" s="1436">
        <v>47004</v>
      </c>
      <c r="BH6" s="1437">
        <v>314.6</v>
      </c>
      <c r="BI6" s="1439">
        <v>55948</v>
      </c>
      <c r="BJ6" s="1438">
        <v>56401</v>
      </c>
      <c r="BK6" s="1437">
        <v>266.45</v>
      </c>
      <c r="BL6" s="1435">
        <v>200945</v>
      </c>
      <c r="BM6" s="1436">
        <v>202996</v>
      </c>
      <c r="BN6" s="1437">
        <v>2197.75</v>
      </c>
      <c r="BO6" s="1453">
        <v>163962</v>
      </c>
      <c r="BP6" s="1610">
        <v>158581</v>
      </c>
      <c r="BQ6" s="1440">
        <v>748</v>
      </c>
      <c r="BR6" s="1453">
        <v>601245</v>
      </c>
      <c r="BS6" s="1610">
        <v>570038</v>
      </c>
      <c r="BT6" s="1440">
        <v>7126</v>
      </c>
      <c r="BU6" s="1435">
        <v>13099</v>
      </c>
      <c r="BV6" s="1436">
        <v>12073</v>
      </c>
      <c r="BW6" s="1437">
        <v>110.05</v>
      </c>
      <c r="BX6" s="1438">
        <v>34417</v>
      </c>
      <c r="BY6" s="1436">
        <v>31581</v>
      </c>
      <c r="BZ6" s="1437">
        <v>296.97</v>
      </c>
      <c r="CA6" s="1435">
        <v>16761</v>
      </c>
      <c r="CB6" s="1436">
        <v>16761</v>
      </c>
      <c r="CC6" s="1437">
        <v>66.06</v>
      </c>
      <c r="CD6" s="1435">
        <v>35720</v>
      </c>
      <c r="CE6" s="1436">
        <v>35720</v>
      </c>
      <c r="CF6" s="1440">
        <v>183.45</v>
      </c>
      <c r="CG6" s="1435">
        <v>71835</v>
      </c>
      <c r="CH6" s="1436">
        <v>71098</v>
      </c>
      <c r="CI6" s="1437">
        <v>145.1</v>
      </c>
      <c r="CJ6" s="1435">
        <v>243504</v>
      </c>
      <c r="CK6" s="1436">
        <v>217349</v>
      </c>
      <c r="CL6" s="1602">
        <v>2253.64</v>
      </c>
      <c r="CM6" s="1604">
        <v>166928</v>
      </c>
      <c r="CN6" s="1605">
        <v>156645</v>
      </c>
      <c r="CO6" s="333">
        <v>1112.76</v>
      </c>
      <c r="CP6" s="1606">
        <v>429596</v>
      </c>
      <c r="CQ6" s="1605">
        <v>400438</v>
      </c>
      <c r="CR6" s="333">
        <v>4018.13</v>
      </c>
      <c r="CS6" s="1438">
        <v>60404</v>
      </c>
      <c r="CT6" s="1436">
        <v>60404</v>
      </c>
      <c r="CU6" s="1437">
        <v>352.38</v>
      </c>
      <c r="CV6" s="1435">
        <v>133723</v>
      </c>
      <c r="CW6" s="1436">
        <v>112008</v>
      </c>
      <c r="CX6" s="1602">
        <v>957.51</v>
      </c>
      <c r="CY6" s="1607">
        <v>43513</v>
      </c>
      <c r="CZ6" s="1608">
        <v>41418</v>
      </c>
      <c r="DA6" s="1603">
        <v>159</v>
      </c>
      <c r="DB6" s="1609">
        <v>161331</v>
      </c>
      <c r="DC6" s="1608">
        <v>150165</v>
      </c>
      <c r="DD6" s="1603">
        <v>783</v>
      </c>
      <c r="DE6" s="1438"/>
      <c r="DF6" s="1436"/>
      <c r="DG6" s="1437"/>
      <c r="DH6" s="1438"/>
      <c r="DI6" s="1436"/>
      <c r="DJ6" s="1437"/>
      <c r="DK6" s="1441">
        <v>381906</v>
      </c>
      <c r="DL6" s="1670">
        <v>381906</v>
      </c>
      <c r="DM6" s="1442">
        <v>1822</v>
      </c>
      <c r="DN6" s="1443">
        <v>1169270</v>
      </c>
      <c r="DO6" s="1670">
        <v>1169270</v>
      </c>
      <c r="DP6" s="1442">
        <v>9422</v>
      </c>
      <c r="DQ6" s="1444">
        <v>118904</v>
      </c>
      <c r="DR6" s="1444">
        <v>116155</v>
      </c>
      <c r="DS6" s="1445">
        <v>183.49</v>
      </c>
      <c r="DT6" s="1444">
        <v>152761</v>
      </c>
      <c r="DU6" s="1444">
        <v>147245</v>
      </c>
      <c r="DV6" s="1445">
        <v>302.36</v>
      </c>
      <c r="DW6" s="1446">
        <v>28433</v>
      </c>
      <c r="DX6" s="1447">
        <v>28433</v>
      </c>
      <c r="DY6" s="1448">
        <v>186.99</v>
      </c>
      <c r="DZ6" s="1449">
        <v>49174</v>
      </c>
      <c r="EA6" s="1450">
        <v>49174</v>
      </c>
      <c r="EB6" s="1451">
        <v>456.23</v>
      </c>
      <c r="EC6" s="1452">
        <v>145528</v>
      </c>
      <c r="ED6" s="1452">
        <v>124184</v>
      </c>
      <c r="EE6" s="1422">
        <v>314.78</v>
      </c>
      <c r="EF6" s="1452">
        <v>332400</v>
      </c>
      <c r="EG6" s="1452">
        <v>310264</v>
      </c>
      <c r="EH6" s="1422">
        <v>2766.48</v>
      </c>
      <c r="EI6" s="1435"/>
      <c r="EJ6" s="1436"/>
      <c r="EK6" s="1437"/>
      <c r="EL6" s="1438"/>
      <c r="EM6" s="1436"/>
      <c r="EN6" s="1437"/>
      <c r="EO6" s="1453">
        <f aca="true" t="shared" si="0" ref="EO6:ET6">SUM(A6+G6+M6+S6+Y6+AE6+AK6+AQ6+AW6+BC6+BI6+BO6+BU6+CA6+CG6+CM6+CS6+CY6+DE6+DK6+DQ6+DW6+EC6+EI6)</f>
        <v>1636801</v>
      </c>
      <c r="EP6" s="1453">
        <f t="shared" si="0"/>
        <v>1586531</v>
      </c>
      <c r="EQ6" s="1453">
        <f t="shared" si="0"/>
        <v>6661.0599999999995</v>
      </c>
      <c r="ER6" s="1453">
        <f t="shared" si="0"/>
        <v>4736827</v>
      </c>
      <c r="ES6" s="1453">
        <f t="shared" si="0"/>
        <v>4333885</v>
      </c>
      <c r="ET6" s="1453">
        <f t="shared" si="0"/>
        <v>36815.600000000006</v>
      </c>
      <c r="EW6" s="1454"/>
    </row>
    <row r="7" spans="1:150" ht="14.25">
      <c r="A7" s="1455"/>
      <c r="B7" s="77"/>
      <c r="C7" s="1456"/>
      <c r="D7" s="265"/>
      <c r="E7" s="77"/>
      <c r="F7" s="1456"/>
      <c r="G7" s="2"/>
      <c r="H7" s="3"/>
      <c r="I7" s="4"/>
      <c r="J7" s="24"/>
      <c r="K7" s="3"/>
      <c r="L7" s="1"/>
      <c r="M7" s="2"/>
      <c r="N7" s="24"/>
      <c r="O7" s="4"/>
      <c r="P7" s="24"/>
      <c r="Q7" s="3"/>
      <c r="R7" s="4"/>
      <c r="S7" s="2"/>
      <c r="T7" s="24"/>
      <c r="U7" s="4"/>
      <c r="V7" s="2"/>
      <c r="W7" s="3"/>
      <c r="X7" s="4"/>
      <c r="Y7" s="2"/>
      <c r="Z7" s="24"/>
      <c r="AA7" s="4"/>
      <c r="AB7" s="2"/>
      <c r="AC7" s="3"/>
      <c r="AD7" s="4"/>
      <c r="AE7" s="2"/>
      <c r="AF7" s="461"/>
      <c r="AG7" s="462"/>
      <c r="AH7" s="24"/>
      <c r="AI7" s="3"/>
      <c r="AJ7" s="248"/>
      <c r="AK7" s="2"/>
      <c r="AL7" s="3"/>
      <c r="AM7" s="4"/>
      <c r="AN7" s="25"/>
      <c r="AO7" s="22"/>
      <c r="AP7" s="104"/>
      <c r="AQ7" s="24"/>
      <c r="AR7" s="3"/>
      <c r="AS7" s="4"/>
      <c r="AT7" s="2"/>
      <c r="AU7" s="3"/>
      <c r="AV7" s="4"/>
      <c r="AW7" s="2"/>
      <c r="AX7" s="3"/>
      <c r="AY7" s="4"/>
      <c r="AZ7" s="2"/>
      <c r="BA7" s="3"/>
      <c r="BB7" s="4"/>
      <c r="BC7" s="2"/>
      <c r="BD7" s="3"/>
      <c r="BE7" s="4"/>
      <c r="BF7" s="2"/>
      <c r="BG7" s="3"/>
      <c r="BH7" s="4"/>
      <c r="BI7" s="1457"/>
      <c r="BJ7" s="24"/>
      <c r="BK7" s="740"/>
      <c r="BL7" s="2"/>
      <c r="BM7" s="3"/>
      <c r="BN7" s="4"/>
      <c r="BO7" s="2"/>
      <c r="BP7" s="3"/>
      <c r="BQ7" s="4"/>
      <c r="BR7" s="2"/>
      <c r="BS7" s="3"/>
      <c r="BT7" s="4"/>
      <c r="BU7" s="249"/>
      <c r="BV7" s="5"/>
      <c r="BW7" s="6"/>
      <c r="BX7" s="1458"/>
      <c r="BY7" s="5"/>
      <c r="BZ7" s="1"/>
      <c r="CA7" s="2"/>
      <c r="CB7" s="3"/>
      <c r="CC7" s="4"/>
      <c r="CD7" s="2"/>
      <c r="CE7" s="3"/>
      <c r="CF7" s="4"/>
      <c r="CG7" s="2"/>
      <c r="CH7" s="3"/>
      <c r="CI7" s="4"/>
      <c r="CJ7" s="2"/>
      <c r="CK7" s="3"/>
      <c r="CL7" s="248"/>
      <c r="CM7" s="2"/>
      <c r="CN7" s="3"/>
      <c r="CO7" s="4"/>
      <c r="CP7" s="24"/>
      <c r="CQ7" s="3"/>
      <c r="CR7" s="4"/>
      <c r="CS7" s="24"/>
      <c r="CT7" s="3"/>
      <c r="CU7" s="4"/>
      <c r="CV7" s="2"/>
      <c r="CW7" s="3"/>
      <c r="CX7" s="248"/>
      <c r="CY7" s="2"/>
      <c r="CZ7" s="3"/>
      <c r="DA7" s="4"/>
      <c r="DB7" s="24"/>
      <c r="DC7" s="3"/>
      <c r="DD7" s="4"/>
      <c r="DE7" s="29"/>
      <c r="DF7" s="3"/>
      <c r="DG7" s="4"/>
      <c r="DH7" s="24"/>
      <c r="DI7" s="3"/>
      <c r="DJ7" s="4"/>
      <c r="DK7" s="2"/>
      <c r="DL7" s="24"/>
      <c r="DM7" s="4"/>
      <c r="DN7" s="1459"/>
      <c r="DO7" s="434"/>
      <c r="DP7" s="435"/>
      <c r="DQ7" s="1460"/>
      <c r="DR7" s="250"/>
      <c r="DS7" s="323"/>
      <c r="DT7" s="1460"/>
      <c r="DU7" s="250"/>
      <c r="DV7" s="323"/>
      <c r="DW7" s="437"/>
      <c r="DX7" s="251"/>
      <c r="DY7" s="326"/>
      <c r="DZ7" s="1461"/>
      <c r="EA7" s="251"/>
      <c r="EB7" s="326"/>
      <c r="EC7" s="24"/>
      <c r="ED7" s="3"/>
      <c r="EE7" s="4"/>
      <c r="EF7" s="24"/>
      <c r="EG7" s="3"/>
      <c r="EH7" s="1"/>
      <c r="EI7" s="437"/>
      <c r="EJ7" s="251"/>
      <c r="EK7" s="326"/>
      <c r="EL7" s="1461"/>
      <c r="EM7" s="251"/>
      <c r="EN7" s="326"/>
      <c r="EO7" s="778"/>
      <c r="EP7" s="778"/>
      <c r="EQ7" s="1013"/>
      <c r="ER7" s="778"/>
      <c r="ES7" s="778"/>
      <c r="ET7" s="1013"/>
    </row>
    <row r="8" spans="1:150" ht="14.25">
      <c r="A8" s="1455"/>
      <c r="B8" s="77"/>
      <c r="C8" s="1456"/>
      <c r="D8" s="265"/>
      <c r="E8" s="77"/>
      <c r="F8" s="1456"/>
      <c r="G8" s="2"/>
      <c r="H8" s="3"/>
      <c r="I8" s="4"/>
      <c r="J8" s="24"/>
      <c r="K8" s="3"/>
      <c r="L8" s="1"/>
      <c r="M8" s="2"/>
      <c r="N8" s="24"/>
      <c r="O8" s="4"/>
      <c r="P8" s="24"/>
      <c r="Q8" s="3"/>
      <c r="R8" s="4"/>
      <c r="S8" s="2"/>
      <c r="T8" s="24"/>
      <c r="U8" s="4"/>
      <c r="V8" s="2"/>
      <c r="W8" s="3"/>
      <c r="X8" s="4"/>
      <c r="Y8" s="2"/>
      <c r="Z8" s="24"/>
      <c r="AA8" s="4"/>
      <c r="AB8" s="2"/>
      <c r="AC8" s="3"/>
      <c r="AD8" s="4"/>
      <c r="AE8" s="438"/>
      <c r="AF8" s="461"/>
      <c r="AG8" s="462"/>
      <c r="AH8" s="1462"/>
      <c r="AI8" s="3"/>
      <c r="AJ8" s="248"/>
      <c r="AK8" s="438"/>
      <c r="AL8" s="439"/>
      <c r="AM8" s="444"/>
      <c r="AN8" s="1462"/>
      <c r="AO8" s="439"/>
      <c r="AP8" s="440"/>
      <c r="AQ8" s="24"/>
      <c r="AR8" s="3"/>
      <c r="AS8" s="4"/>
      <c r="AT8" s="2"/>
      <c r="AU8" s="3"/>
      <c r="AV8" s="4"/>
      <c r="AW8" s="2"/>
      <c r="AX8" s="3"/>
      <c r="AY8" s="4"/>
      <c r="AZ8" s="2"/>
      <c r="BA8" s="3"/>
      <c r="BB8" s="4"/>
      <c r="BC8" s="2"/>
      <c r="BD8" s="3"/>
      <c r="BE8" s="4"/>
      <c r="BF8" s="2"/>
      <c r="BG8" s="3"/>
      <c r="BH8" s="444"/>
      <c r="BI8" s="1463"/>
      <c r="BJ8" s="1462"/>
      <c r="BK8" s="444"/>
      <c r="BL8" s="438"/>
      <c r="BM8" s="439"/>
      <c r="BN8" s="444"/>
      <c r="BO8" s="2"/>
      <c r="BP8" s="3"/>
      <c r="BQ8" s="4"/>
      <c r="BR8" s="2"/>
      <c r="BS8" s="3"/>
      <c r="BT8" s="4"/>
      <c r="BU8" s="441"/>
      <c r="BV8" s="442"/>
      <c r="BW8" s="443"/>
      <c r="BX8" s="1464"/>
      <c r="BY8" s="442"/>
      <c r="BZ8" s="443"/>
      <c r="CA8" s="2"/>
      <c r="CB8" s="3"/>
      <c r="CC8" s="4"/>
      <c r="CD8" s="2"/>
      <c r="CE8" s="3"/>
      <c r="CF8" s="4"/>
      <c r="CG8" s="2"/>
      <c r="CH8" s="3"/>
      <c r="CI8" s="4"/>
      <c r="CJ8" s="2"/>
      <c r="CK8" s="3"/>
      <c r="CL8" s="248"/>
      <c r="CM8" s="2"/>
      <c r="CN8" s="3"/>
      <c r="CO8" s="4"/>
      <c r="CP8" s="24"/>
      <c r="CQ8" s="3"/>
      <c r="CR8" s="4"/>
      <c r="CS8" s="24"/>
      <c r="CT8" s="3"/>
      <c r="CU8" s="4"/>
      <c r="CV8" s="2"/>
      <c r="CW8" s="3"/>
      <c r="CX8" s="248"/>
      <c r="CY8" s="2"/>
      <c r="CZ8" s="3"/>
      <c r="DA8" s="4"/>
      <c r="DB8" s="24"/>
      <c r="DC8" s="3"/>
      <c r="DD8" s="4"/>
      <c r="DE8" s="29"/>
      <c r="DF8" s="3"/>
      <c r="DG8" s="4"/>
      <c r="DH8" s="24"/>
      <c r="DI8" s="3"/>
      <c r="DJ8" s="4"/>
      <c r="DK8" s="2"/>
      <c r="DL8" s="24"/>
      <c r="DM8" s="4"/>
      <c r="DN8" s="1459"/>
      <c r="DO8" s="434"/>
      <c r="DP8" s="435"/>
      <c r="DQ8" s="1460"/>
      <c r="DR8" s="250"/>
      <c r="DS8" s="323"/>
      <c r="DT8" s="1460"/>
      <c r="DU8" s="250"/>
      <c r="DV8" s="323"/>
      <c r="DW8" s="437"/>
      <c r="DX8" s="251"/>
      <c r="DY8" s="326"/>
      <c r="DZ8" s="1461"/>
      <c r="EA8" s="251"/>
      <c r="EB8" s="326"/>
      <c r="EC8" s="24"/>
      <c r="ED8" s="3"/>
      <c r="EE8" s="4"/>
      <c r="EF8" s="24"/>
      <c r="EG8" s="3"/>
      <c r="EH8" s="1"/>
      <c r="EI8" s="437"/>
      <c r="EJ8" s="251"/>
      <c r="EK8" s="326"/>
      <c r="EL8" s="1461"/>
      <c r="EM8" s="251"/>
      <c r="EN8" s="326"/>
      <c r="EO8" s="778"/>
      <c r="EP8" s="778"/>
      <c r="EQ8" s="1013"/>
      <c r="ER8" s="778"/>
      <c r="ES8" s="778"/>
      <c r="ET8" s="1013"/>
    </row>
    <row r="9" spans="1:150" ht="14.25">
      <c r="A9" s="1455"/>
      <c r="B9" s="77"/>
      <c r="C9" s="1456"/>
      <c r="D9" s="265"/>
      <c r="E9" s="77"/>
      <c r="F9" s="1456"/>
      <c r="G9" s="2"/>
      <c r="H9" s="3"/>
      <c r="I9" s="4"/>
      <c r="J9" s="24"/>
      <c r="K9" s="3"/>
      <c r="L9" s="1"/>
      <c r="M9" s="2"/>
      <c r="N9" s="24"/>
      <c r="O9" s="4"/>
      <c r="P9" s="24"/>
      <c r="Q9" s="3"/>
      <c r="R9" s="4"/>
      <c r="S9" s="2"/>
      <c r="T9" s="24"/>
      <c r="U9" s="4"/>
      <c r="V9" s="2"/>
      <c r="W9" s="3"/>
      <c r="X9" s="4"/>
      <c r="Y9" s="2"/>
      <c r="Z9" s="24"/>
      <c r="AA9" s="4"/>
      <c r="AB9" s="2"/>
      <c r="AC9" s="3"/>
      <c r="AD9" s="4"/>
      <c r="AE9" s="2"/>
      <c r="AF9" s="461"/>
      <c r="AG9" s="462"/>
      <c r="AH9" s="24"/>
      <c r="AI9" s="3"/>
      <c r="AJ9" s="248"/>
      <c r="AK9" s="2"/>
      <c r="AL9" s="3"/>
      <c r="AM9" s="4"/>
      <c r="AN9" s="24"/>
      <c r="AO9" s="3"/>
      <c r="AP9" s="1"/>
      <c r="AQ9" s="24"/>
      <c r="AR9" s="3"/>
      <c r="AS9" s="4"/>
      <c r="AT9" s="2"/>
      <c r="AU9" s="3"/>
      <c r="AV9" s="4"/>
      <c r="AW9" s="2"/>
      <c r="AX9" s="3"/>
      <c r="AY9" s="4"/>
      <c r="AZ9" s="2"/>
      <c r="BA9" s="3"/>
      <c r="BB9" s="4"/>
      <c r="BC9" s="2"/>
      <c r="BD9" s="3"/>
      <c r="BE9" s="4"/>
      <c r="BF9" s="2"/>
      <c r="BG9" s="3"/>
      <c r="BH9" s="4"/>
      <c r="BI9" s="1457"/>
      <c r="BJ9" s="24"/>
      <c r="BK9" s="444"/>
      <c r="BL9" s="2"/>
      <c r="BM9" s="3"/>
      <c r="BN9" s="4"/>
      <c r="BO9" s="2"/>
      <c r="BP9" s="3"/>
      <c r="BQ9" s="4"/>
      <c r="BR9" s="2"/>
      <c r="BS9" s="3"/>
      <c r="BT9" s="4"/>
      <c r="BU9" s="249"/>
      <c r="BV9" s="5"/>
      <c r="BW9" s="6"/>
      <c r="BX9" s="1458"/>
      <c r="BY9" s="5"/>
      <c r="BZ9" s="1"/>
      <c r="CA9" s="2"/>
      <c r="CB9" s="3"/>
      <c r="CC9" s="4"/>
      <c r="CD9" s="2"/>
      <c r="CE9" s="3"/>
      <c r="CF9" s="4"/>
      <c r="CG9" s="2"/>
      <c r="CH9" s="3"/>
      <c r="CI9" s="4"/>
      <c r="CJ9" s="2"/>
      <c r="CK9" s="3"/>
      <c r="CL9" s="248"/>
      <c r="CM9" s="2"/>
      <c r="CN9" s="3"/>
      <c r="CO9" s="4"/>
      <c r="CP9" s="24"/>
      <c r="CQ9" s="3"/>
      <c r="CR9" s="4"/>
      <c r="CS9" s="24"/>
      <c r="CT9" s="3"/>
      <c r="CU9" s="4"/>
      <c r="CV9" s="2"/>
      <c r="CW9" s="3"/>
      <c r="CX9" s="248"/>
      <c r="CY9" s="2"/>
      <c r="CZ9" s="3"/>
      <c r="DA9" s="4"/>
      <c r="DB9" s="24"/>
      <c r="DC9" s="3"/>
      <c r="DD9" s="4"/>
      <c r="DE9" s="29"/>
      <c r="DF9" s="3"/>
      <c r="DG9" s="4"/>
      <c r="DH9" s="24"/>
      <c r="DI9" s="3"/>
      <c r="DJ9" s="4"/>
      <c r="DK9" s="2"/>
      <c r="DL9" s="24"/>
      <c r="DM9" s="4"/>
      <c r="DN9" s="1459"/>
      <c r="DO9" s="434"/>
      <c r="DP9" s="435"/>
      <c r="DQ9" s="1460"/>
      <c r="DR9" s="250"/>
      <c r="DS9" s="323"/>
      <c r="DT9" s="1460"/>
      <c r="DU9" s="250"/>
      <c r="DV9" s="323"/>
      <c r="DW9" s="437"/>
      <c r="DX9" s="251"/>
      <c r="DY9" s="326"/>
      <c r="DZ9" s="1461"/>
      <c r="EA9" s="251"/>
      <c r="EB9" s="326"/>
      <c r="EC9" s="24"/>
      <c r="ED9" s="3"/>
      <c r="EE9" s="4"/>
      <c r="EF9" s="24"/>
      <c r="EG9" s="3"/>
      <c r="EH9" s="1"/>
      <c r="EI9" s="437"/>
      <c r="EJ9" s="251"/>
      <c r="EK9" s="326"/>
      <c r="EL9" s="1461"/>
      <c r="EM9" s="251"/>
      <c r="EN9" s="326"/>
      <c r="EO9" s="778"/>
      <c r="EP9" s="778"/>
      <c r="EQ9" s="1013"/>
      <c r="ER9" s="778"/>
      <c r="ES9" s="778"/>
      <c r="ET9" s="1013"/>
    </row>
    <row r="10" spans="1:150" ht="15" thickBot="1">
      <c r="A10" s="1465"/>
      <c r="B10" s="445"/>
      <c r="C10" s="1466"/>
      <c r="D10" s="482"/>
      <c r="E10" s="445"/>
      <c r="F10" s="1466"/>
      <c r="G10" s="446"/>
      <c r="H10" s="12"/>
      <c r="I10" s="447"/>
      <c r="J10" s="449"/>
      <c r="K10" s="12"/>
      <c r="L10" s="574"/>
      <c r="M10" s="446"/>
      <c r="N10" s="449"/>
      <c r="O10" s="447"/>
      <c r="P10" s="449"/>
      <c r="Q10" s="12"/>
      <c r="R10" s="447"/>
      <c r="S10" s="446"/>
      <c r="T10" s="449"/>
      <c r="U10" s="447"/>
      <c r="V10" s="446"/>
      <c r="W10" s="12"/>
      <c r="X10" s="447"/>
      <c r="Y10" s="446"/>
      <c r="Z10" s="449"/>
      <c r="AA10" s="447"/>
      <c r="AB10" s="446"/>
      <c r="AC10" s="12"/>
      <c r="AD10" s="447"/>
      <c r="AE10" s="1467"/>
      <c r="AF10" s="904"/>
      <c r="AG10" s="1468"/>
      <c r="AH10" s="1469"/>
      <c r="AI10" s="12"/>
      <c r="AJ10" s="448"/>
      <c r="AK10" s="446"/>
      <c r="AL10" s="12"/>
      <c r="AM10" s="447"/>
      <c r="AN10" s="449"/>
      <c r="AO10" s="12"/>
      <c r="AP10" s="574"/>
      <c r="AQ10" s="449"/>
      <c r="AR10" s="12"/>
      <c r="AS10" s="447"/>
      <c r="AT10" s="446"/>
      <c r="AU10" s="12"/>
      <c r="AV10" s="447"/>
      <c r="AW10" s="446"/>
      <c r="AX10" s="12"/>
      <c r="AY10" s="447"/>
      <c r="AZ10" s="446"/>
      <c r="BA10" s="12"/>
      <c r="BB10" s="447"/>
      <c r="BC10" s="446"/>
      <c r="BD10" s="12"/>
      <c r="BE10" s="447"/>
      <c r="BF10" s="446"/>
      <c r="BG10" s="12"/>
      <c r="BH10" s="1470"/>
      <c r="BI10" s="1471"/>
      <c r="BJ10" s="1469"/>
      <c r="BK10" s="1470"/>
      <c r="BL10" s="1467"/>
      <c r="BM10" s="1472"/>
      <c r="BN10" s="1470"/>
      <c r="BO10" s="446"/>
      <c r="BP10" s="12"/>
      <c r="BQ10" s="447"/>
      <c r="BR10" s="446"/>
      <c r="BS10" s="12"/>
      <c r="BT10" s="447"/>
      <c r="BU10" s="1473"/>
      <c r="BV10" s="1474"/>
      <c r="BW10" s="1475"/>
      <c r="BX10" s="1476"/>
      <c r="BY10" s="1474"/>
      <c r="BZ10" s="574"/>
      <c r="CA10" s="446"/>
      <c r="CB10" s="12"/>
      <c r="CC10" s="447"/>
      <c r="CD10" s="446"/>
      <c r="CE10" s="12"/>
      <c r="CF10" s="447"/>
      <c r="CG10" s="446"/>
      <c r="CH10" s="12"/>
      <c r="CI10" s="447"/>
      <c r="CJ10" s="446"/>
      <c r="CK10" s="12"/>
      <c r="CL10" s="448"/>
      <c r="CM10" s="446"/>
      <c r="CN10" s="12"/>
      <c r="CO10" s="447"/>
      <c r="CP10" s="449"/>
      <c r="CQ10" s="12"/>
      <c r="CR10" s="447"/>
      <c r="CS10" s="449"/>
      <c r="CT10" s="12"/>
      <c r="CU10" s="447"/>
      <c r="CV10" s="446"/>
      <c r="CW10" s="12"/>
      <c r="CX10" s="448"/>
      <c r="CY10" s="446"/>
      <c r="CZ10" s="12"/>
      <c r="DA10" s="447"/>
      <c r="DB10" s="449"/>
      <c r="DC10" s="12"/>
      <c r="DD10" s="447"/>
      <c r="DE10" s="71"/>
      <c r="DF10" s="12"/>
      <c r="DG10" s="447"/>
      <c r="DH10" s="449"/>
      <c r="DI10" s="12"/>
      <c r="DJ10" s="447"/>
      <c r="DK10" s="446"/>
      <c r="DL10" s="449"/>
      <c r="DM10" s="447"/>
      <c r="DN10" s="1477"/>
      <c r="DO10" s="1478"/>
      <c r="DP10" s="1479"/>
      <c r="DQ10" s="1480"/>
      <c r="DR10" s="454"/>
      <c r="DS10" s="455"/>
      <c r="DT10" s="1480"/>
      <c r="DU10" s="454"/>
      <c r="DV10" s="455"/>
      <c r="DW10" s="456"/>
      <c r="DX10" s="329"/>
      <c r="DY10" s="330"/>
      <c r="DZ10" s="1481"/>
      <c r="EA10" s="329"/>
      <c r="EB10" s="330"/>
      <c r="EC10" s="449"/>
      <c r="ED10" s="12"/>
      <c r="EE10" s="447"/>
      <c r="EF10" s="449"/>
      <c r="EG10" s="12"/>
      <c r="EH10" s="574"/>
      <c r="EI10" s="456"/>
      <c r="EJ10" s="329"/>
      <c r="EK10" s="330"/>
      <c r="EL10" s="1481"/>
      <c r="EM10" s="329"/>
      <c r="EN10" s="330"/>
      <c r="EO10" s="1482"/>
      <c r="EP10" s="1482"/>
      <c r="EQ10" s="1483"/>
      <c r="ER10" s="1482"/>
      <c r="ES10" s="1482"/>
      <c r="ET10" s="1483"/>
    </row>
  </sheetData>
  <sheetProtection/>
  <mergeCells count="76">
    <mergeCell ref="DQ4:DS4"/>
    <mergeCell ref="DT4:DV4"/>
    <mergeCell ref="EO4:EQ4"/>
    <mergeCell ref="ER4:ET4"/>
    <mergeCell ref="DW4:DY4"/>
    <mergeCell ref="DZ4:EB4"/>
    <mergeCell ref="EC4:EE4"/>
    <mergeCell ref="EF4:EH4"/>
    <mergeCell ref="EI4:EK4"/>
    <mergeCell ref="EL4:EN4"/>
    <mergeCell ref="DB4:DD4"/>
    <mergeCell ref="DE4:DG4"/>
    <mergeCell ref="DH4:DJ4"/>
    <mergeCell ref="DK4:DM4"/>
    <mergeCell ref="DN4:DP4"/>
    <mergeCell ref="CM4:CO4"/>
    <mergeCell ref="CP4:CR4"/>
    <mergeCell ref="CS4:CU4"/>
    <mergeCell ref="CV4:CX4"/>
    <mergeCell ref="CY4:DA4"/>
    <mergeCell ref="BX4:BZ4"/>
    <mergeCell ref="CA4:CC4"/>
    <mergeCell ref="CD4:CF4"/>
    <mergeCell ref="CG4:CI4"/>
    <mergeCell ref="CJ4:CL4"/>
    <mergeCell ref="BI4:BK4"/>
    <mergeCell ref="BL4:BN4"/>
    <mergeCell ref="BO4:BQ4"/>
    <mergeCell ref="BR4:BT4"/>
    <mergeCell ref="BU4:BW4"/>
    <mergeCell ref="AT4:AV4"/>
    <mergeCell ref="AW4:AY4"/>
    <mergeCell ref="AZ4:BB4"/>
    <mergeCell ref="BC4:BE4"/>
    <mergeCell ref="BF4:BH4"/>
    <mergeCell ref="AE4:AG4"/>
    <mergeCell ref="AH4:AJ4"/>
    <mergeCell ref="AK4:AM4"/>
    <mergeCell ref="AN4:AP4"/>
    <mergeCell ref="AQ4:AS4"/>
    <mergeCell ref="P4:R4"/>
    <mergeCell ref="S4:U4"/>
    <mergeCell ref="V4:X4"/>
    <mergeCell ref="Y4:AA4"/>
    <mergeCell ref="AB4:AD4"/>
    <mergeCell ref="A4:C4"/>
    <mergeCell ref="D4:F4"/>
    <mergeCell ref="G4:I4"/>
    <mergeCell ref="J4:L4"/>
    <mergeCell ref="M4:O4"/>
    <mergeCell ref="DQ3:DV3"/>
    <mergeCell ref="DW3:EB3"/>
    <mergeCell ref="EC3:EH3"/>
    <mergeCell ref="EI3:EN3"/>
    <mergeCell ref="EO3:ET3"/>
    <mergeCell ref="CM3:CR3"/>
    <mergeCell ref="CS3:CX3"/>
    <mergeCell ref="CY3:DD3"/>
    <mergeCell ref="DE3:DJ3"/>
    <mergeCell ref="DK3:DP3"/>
    <mergeCell ref="A2:EN2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J3:BN3"/>
    <mergeCell ref="BO3:BT3"/>
    <mergeCell ref="BU3:BZ3"/>
    <mergeCell ref="CA3:CF3"/>
    <mergeCell ref="CG3:C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/>
  <cols>
    <col min="1" max="1" width="33.140625" style="13" bestFit="1" customWidth="1"/>
    <col min="2" max="2" width="11.421875" style="13" bestFit="1" customWidth="1"/>
    <col min="3" max="3" width="9.140625" style="13" bestFit="1" customWidth="1"/>
    <col min="4" max="5" width="11.00390625" style="13" bestFit="1" customWidth="1"/>
    <col min="6" max="6" width="9.140625" style="13" bestFit="1" customWidth="1"/>
    <col min="7" max="7" width="13.28125" style="13" bestFit="1" customWidth="1"/>
    <col min="8" max="8" width="9.140625" style="13" bestFit="1" customWidth="1"/>
    <col min="9" max="9" width="11.00390625" style="13" customWidth="1"/>
    <col min="10" max="10" width="9.140625" style="13" bestFit="1" customWidth="1"/>
    <col min="11" max="11" width="9.28125" style="13" bestFit="1" customWidth="1"/>
    <col min="12" max="12" width="9.57421875" style="13" bestFit="1" customWidth="1"/>
    <col min="13" max="13" width="11.421875" style="13" bestFit="1" customWidth="1"/>
    <col min="14" max="14" width="9.140625" style="13" bestFit="1" customWidth="1"/>
    <col min="15" max="15" width="9.28125" style="13" bestFit="1" customWidth="1"/>
    <col min="16" max="16" width="11.421875" style="13" bestFit="1" customWidth="1"/>
    <col min="17" max="19" width="9.140625" style="13" bestFit="1" customWidth="1"/>
    <col min="20" max="20" width="9.140625" style="13" customWidth="1"/>
    <col min="21" max="21" width="11.421875" style="13" customWidth="1"/>
    <col min="22" max="23" width="9.140625" style="13" bestFit="1" customWidth="1"/>
    <col min="24" max="24" width="9.28125" style="13" bestFit="1" customWidth="1"/>
    <col min="25" max="25" width="11.00390625" style="13" bestFit="1" customWidth="1"/>
    <col min="26" max="26" width="11.421875" style="13" customWidth="1"/>
    <col min="27" max="27" width="11.421875" style="13" bestFit="1" customWidth="1"/>
    <col min="28" max="28" width="9.57421875" style="13" bestFit="1" customWidth="1"/>
    <col min="29" max="16384" width="9.140625" style="13" customWidth="1"/>
  </cols>
  <sheetData>
    <row r="1" spans="1:27" ht="14.25">
      <c r="A1" s="1800" t="s">
        <v>110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  <c r="U1" s="1800"/>
      <c r="V1" s="1800"/>
      <c r="W1" s="1800"/>
      <c r="X1" s="1800"/>
      <c r="Y1" s="1800"/>
      <c r="Z1" s="1800"/>
      <c r="AA1" s="1800"/>
    </row>
    <row r="2" spans="1:27" ht="15" thickBot="1">
      <c r="A2" s="1801" t="s">
        <v>451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  <c r="M2" s="1801"/>
      <c r="N2" s="1801"/>
      <c r="O2" s="1801"/>
      <c r="P2" s="1801"/>
      <c r="Q2" s="1801"/>
      <c r="R2" s="1801"/>
      <c r="S2" s="1801"/>
      <c r="T2" s="1801"/>
      <c r="U2" s="1801"/>
      <c r="V2" s="1801"/>
      <c r="W2" s="1801"/>
      <c r="X2" s="1801"/>
      <c r="Y2" s="1801"/>
      <c r="Z2" s="1801"/>
      <c r="AA2" s="1801"/>
    </row>
    <row r="3" spans="1:27" ht="84" customHeight="1" thickBot="1">
      <c r="A3" s="885" t="s">
        <v>111</v>
      </c>
      <c r="B3" s="562" t="s">
        <v>184</v>
      </c>
      <c r="C3" s="545" t="s">
        <v>185</v>
      </c>
      <c r="D3" s="545" t="s">
        <v>186</v>
      </c>
      <c r="E3" s="545" t="s">
        <v>187</v>
      </c>
      <c r="F3" s="545" t="s">
        <v>188</v>
      </c>
      <c r="G3" s="545" t="s">
        <v>189</v>
      </c>
      <c r="H3" s="545" t="s">
        <v>527</v>
      </c>
      <c r="I3" s="545" t="s">
        <v>190</v>
      </c>
      <c r="J3" s="545" t="s">
        <v>191</v>
      </c>
      <c r="K3" s="545" t="s">
        <v>192</v>
      </c>
      <c r="L3" s="545" t="s">
        <v>193</v>
      </c>
      <c r="M3" s="545" t="s">
        <v>194</v>
      </c>
      <c r="N3" s="545" t="s">
        <v>195</v>
      </c>
      <c r="O3" s="545" t="s">
        <v>196</v>
      </c>
      <c r="P3" s="551" t="s">
        <v>197</v>
      </c>
      <c r="Q3" s="545" t="s">
        <v>198</v>
      </c>
      <c r="R3" s="545" t="s">
        <v>199</v>
      </c>
      <c r="S3" s="545" t="s">
        <v>200</v>
      </c>
      <c r="T3" s="551" t="s">
        <v>201</v>
      </c>
      <c r="U3" s="545" t="s">
        <v>202</v>
      </c>
      <c r="V3" s="545" t="s">
        <v>203</v>
      </c>
      <c r="W3" s="534" t="s">
        <v>204</v>
      </c>
      <c r="X3" s="534" t="s">
        <v>205</v>
      </c>
      <c r="Y3" s="533" t="s">
        <v>1</v>
      </c>
      <c r="Z3" s="532" t="s">
        <v>206</v>
      </c>
      <c r="AA3" s="567" t="s">
        <v>2</v>
      </c>
    </row>
    <row r="4" spans="1:27" s="890" customFormat="1" ht="54.75" thickBot="1">
      <c r="A4" s="886"/>
      <c r="B4" s="887" t="s">
        <v>450</v>
      </c>
      <c r="C4" s="887" t="s">
        <v>450</v>
      </c>
      <c r="D4" s="888" t="s">
        <v>450</v>
      </c>
      <c r="E4" s="887" t="s">
        <v>450</v>
      </c>
      <c r="F4" s="887" t="s">
        <v>450</v>
      </c>
      <c r="G4" s="887" t="s">
        <v>450</v>
      </c>
      <c r="H4" s="889" t="s">
        <v>450</v>
      </c>
      <c r="I4" s="888" t="s">
        <v>450</v>
      </c>
      <c r="J4" s="887" t="s">
        <v>450</v>
      </c>
      <c r="K4" s="887" t="s">
        <v>450</v>
      </c>
      <c r="L4" s="887" t="s">
        <v>450</v>
      </c>
      <c r="M4" s="889" t="s">
        <v>450</v>
      </c>
      <c r="N4" s="887" t="s">
        <v>450</v>
      </c>
      <c r="O4" s="887" t="s">
        <v>450</v>
      </c>
      <c r="P4" s="888" t="s">
        <v>450</v>
      </c>
      <c r="Q4" s="887" t="s">
        <v>450</v>
      </c>
      <c r="R4" s="887" t="s">
        <v>450</v>
      </c>
      <c r="S4" s="887" t="s">
        <v>450</v>
      </c>
      <c r="T4" s="889" t="s">
        <v>450</v>
      </c>
      <c r="U4" s="887" t="s">
        <v>450</v>
      </c>
      <c r="V4" s="887" t="s">
        <v>450</v>
      </c>
      <c r="W4" s="888" t="s">
        <v>450</v>
      </c>
      <c r="X4" s="887" t="s">
        <v>450</v>
      </c>
      <c r="Y4" s="887" t="s">
        <v>450</v>
      </c>
      <c r="Z4" s="887" t="s">
        <v>450</v>
      </c>
      <c r="AA4" s="889" t="s">
        <v>450</v>
      </c>
    </row>
    <row r="5" spans="1:27" s="44" customFormat="1" ht="14.25">
      <c r="A5" s="230" t="s">
        <v>112</v>
      </c>
      <c r="B5" s="563">
        <v>3962422</v>
      </c>
      <c r="C5" s="555">
        <v>249550</v>
      </c>
      <c r="D5" s="555"/>
      <c r="E5" s="555">
        <v>4705031</v>
      </c>
      <c r="F5" s="555">
        <v>717609.75</v>
      </c>
      <c r="G5" s="555">
        <v>1446597</v>
      </c>
      <c r="H5" s="555">
        <v>41960575</v>
      </c>
      <c r="I5" s="555">
        <v>27773157</v>
      </c>
      <c r="J5" s="555">
        <v>1476072</v>
      </c>
      <c r="K5" s="555">
        <v>437534</v>
      </c>
      <c r="L5" s="555">
        <v>12005980</v>
      </c>
      <c r="M5" s="555">
        <v>14735375.33</v>
      </c>
      <c r="N5" s="559">
        <v>929064</v>
      </c>
      <c r="O5" s="555">
        <v>1429245</v>
      </c>
      <c r="P5" s="555">
        <v>3356404</v>
      </c>
      <c r="Q5" s="555">
        <v>6726838</v>
      </c>
      <c r="R5" s="555">
        <v>2149751</v>
      </c>
      <c r="S5" s="555">
        <v>1906454</v>
      </c>
      <c r="T5" s="552"/>
      <c r="U5" s="550">
        <v>15377784.53</v>
      </c>
      <c r="V5" s="546">
        <v>45384222</v>
      </c>
      <c r="W5" s="543">
        <v>901193</v>
      </c>
      <c r="X5" s="535">
        <v>2953072</v>
      </c>
      <c r="Y5" s="64">
        <f aca="true" t="shared" si="0" ref="Y5:Y11">SUM(B5+C5+D5+E5+F5+G5+H5+I5+J5+K5+L5+M5+N5+O5+P5+Q5+R5+S5+T5+U5+V5+W5+X5)</f>
        <v>190583930.60999998</v>
      </c>
      <c r="Z5" s="541"/>
      <c r="AA5" s="568">
        <f aca="true" t="shared" si="1" ref="AA5:AA16">Y5+Z5</f>
        <v>190583930.60999998</v>
      </c>
    </row>
    <row r="6" spans="1:27" s="44" customFormat="1" ht="14.25">
      <c r="A6" s="230" t="s">
        <v>113</v>
      </c>
      <c r="B6" s="564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60"/>
      <c r="O6" s="548"/>
      <c r="P6" s="548"/>
      <c r="Q6" s="548"/>
      <c r="R6" s="548"/>
      <c r="S6" s="548"/>
      <c r="T6" s="553"/>
      <c r="U6" s="548"/>
      <c r="V6" s="547"/>
      <c r="W6" s="324"/>
      <c r="X6" s="536"/>
      <c r="Y6" s="539">
        <f t="shared" si="0"/>
        <v>0</v>
      </c>
      <c r="Z6" s="525"/>
      <c r="AA6" s="537">
        <f t="shared" si="1"/>
        <v>0</v>
      </c>
    </row>
    <row r="7" spans="1:27" s="44" customFormat="1" ht="14.25">
      <c r="A7" s="230" t="s">
        <v>114</v>
      </c>
      <c r="B7" s="565">
        <v>3994944</v>
      </c>
      <c r="C7" s="556">
        <v>229986</v>
      </c>
      <c r="D7" s="556"/>
      <c r="E7" s="556">
        <v>4615800</v>
      </c>
      <c r="F7" s="556">
        <v>676305.21</v>
      </c>
      <c r="G7" s="556">
        <v>1413744</v>
      </c>
      <c r="H7" s="556">
        <v>41222912</v>
      </c>
      <c r="I7" s="556">
        <v>27369015</v>
      </c>
      <c r="J7" s="556">
        <v>1452821</v>
      </c>
      <c r="K7" s="556">
        <v>417417</v>
      </c>
      <c r="L7" s="556">
        <v>11945289</v>
      </c>
      <c r="M7" s="556">
        <v>14444060.09</v>
      </c>
      <c r="N7" s="560">
        <v>909582</v>
      </c>
      <c r="O7" s="556">
        <v>1387264</v>
      </c>
      <c r="P7" s="558">
        <v>3120823</v>
      </c>
      <c r="Q7" s="556">
        <v>6464491</v>
      </c>
      <c r="R7" s="556">
        <v>2111875</v>
      </c>
      <c r="S7" s="556">
        <v>1915158</v>
      </c>
      <c r="T7" s="553"/>
      <c r="U7" s="550">
        <v>15468833.33</v>
      </c>
      <c r="V7" s="547">
        <v>45530290</v>
      </c>
      <c r="W7" s="324">
        <v>869393</v>
      </c>
      <c r="X7" s="537">
        <v>2895341</v>
      </c>
      <c r="Y7" s="539">
        <f t="shared" si="0"/>
        <v>188455343.63000003</v>
      </c>
      <c r="Z7" s="539"/>
      <c r="AA7" s="537">
        <f t="shared" si="1"/>
        <v>188455343.63000003</v>
      </c>
    </row>
    <row r="8" spans="1:27" s="44" customFormat="1" ht="14.25">
      <c r="A8" s="230" t="s">
        <v>115</v>
      </c>
      <c r="B8" s="564"/>
      <c r="C8" s="548"/>
      <c r="D8" s="548"/>
      <c r="E8" s="548"/>
      <c r="F8" s="548">
        <v>20183.98</v>
      </c>
      <c r="G8" s="548"/>
      <c r="H8" s="548"/>
      <c r="I8" s="548"/>
      <c r="J8" s="548"/>
      <c r="K8" s="548"/>
      <c r="L8" s="548"/>
      <c r="M8" s="548">
        <v>194249.64</v>
      </c>
      <c r="N8" s="548"/>
      <c r="O8" s="548">
        <v>36489</v>
      </c>
      <c r="P8" s="548">
        <v>212403</v>
      </c>
      <c r="Q8" s="548"/>
      <c r="R8" s="548"/>
      <c r="S8" s="548"/>
      <c r="T8" s="553"/>
      <c r="U8" s="305"/>
      <c r="V8" s="547"/>
      <c r="W8" s="324">
        <v>12792</v>
      </c>
      <c r="X8" s="536"/>
      <c r="Y8" s="539">
        <f t="shared" si="0"/>
        <v>476117.62</v>
      </c>
      <c r="Z8" s="525"/>
      <c r="AA8" s="537">
        <f t="shared" si="1"/>
        <v>476117.62</v>
      </c>
    </row>
    <row r="9" spans="1:27" s="44" customFormat="1" ht="14.25">
      <c r="A9" s="531" t="s">
        <v>278</v>
      </c>
      <c r="B9" s="564">
        <v>-32522</v>
      </c>
      <c r="C9" s="548"/>
      <c r="D9" s="548"/>
      <c r="E9" s="548">
        <v>89230</v>
      </c>
      <c r="F9" s="548">
        <v>21120.56</v>
      </c>
      <c r="G9" s="548">
        <v>32853</v>
      </c>
      <c r="H9" s="548">
        <v>737664</v>
      </c>
      <c r="I9" s="548">
        <v>404142</v>
      </c>
      <c r="J9" s="548">
        <v>23251</v>
      </c>
      <c r="K9" s="548"/>
      <c r="L9" s="548">
        <v>60691</v>
      </c>
      <c r="M9" s="548">
        <v>97065.6</v>
      </c>
      <c r="N9" s="548">
        <v>19482</v>
      </c>
      <c r="O9" s="548">
        <v>5492</v>
      </c>
      <c r="P9" s="548">
        <v>23178</v>
      </c>
      <c r="Q9" s="548">
        <v>262347</v>
      </c>
      <c r="R9" s="548">
        <v>37876</v>
      </c>
      <c r="S9" s="548">
        <v>-8704</v>
      </c>
      <c r="T9" s="553"/>
      <c r="U9" s="550">
        <v>-91048.8</v>
      </c>
      <c r="V9" s="547">
        <v>-146068</v>
      </c>
      <c r="W9" s="324">
        <v>19008</v>
      </c>
      <c r="X9" s="536">
        <v>57731</v>
      </c>
      <c r="Y9" s="539">
        <f t="shared" si="0"/>
        <v>1612788.36</v>
      </c>
      <c r="Z9" s="525"/>
      <c r="AA9" s="537">
        <f t="shared" si="1"/>
        <v>1612788.36</v>
      </c>
    </row>
    <row r="10" spans="1:27" s="44" customFormat="1" ht="14.25">
      <c r="A10" s="230" t="s">
        <v>116</v>
      </c>
      <c r="B10" s="564">
        <v>239689</v>
      </c>
      <c r="C10" s="548"/>
      <c r="D10" s="548"/>
      <c r="E10" s="548">
        <v>964603</v>
      </c>
      <c r="F10" s="548">
        <v>44155.16</v>
      </c>
      <c r="G10" s="548">
        <v>106206</v>
      </c>
      <c r="H10" s="548">
        <v>6288066</v>
      </c>
      <c r="I10" s="548">
        <v>2638795</v>
      </c>
      <c r="J10" s="548">
        <v>104807</v>
      </c>
      <c r="K10" s="548"/>
      <c r="L10" s="548">
        <v>647261</v>
      </c>
      <c r="M10" s="548">
        <v>811637.78</v>
      </c>
      <c r="N10" s="560">
        <v>66032</v>
      </c>
      <c r="O10" s="548">
        <v>92485</v>
      </c>
      <c r="P10" s="548">
        <v>335354</v>
      </c>
      <c r="Q10" s="548">
        <v>439920</v>
      </c>
      <c r="R10" s="548">
        <v>127735</v>
      </c>
      <c r="S10" s="548">
        <v>122192</v>
      </c>
      <c r="T10" s="553"/>
      <c r="U10" s="550">
        <v>862332.24</v>
      </c>
      <c r="V10" s="547">
        <v>4374662</v>
      </c>
      <c r="W10" s="324">
        <v>59953</v>
      </c>
      <c r="X10" s="536">
        <v>211363</v>
      </c>
      <c r="Y10" s="539">
        <f t="shared" si="0"/>
        <v>18537248.18</v>
      </c>
      <c r="Z10" s="504"/>
      <c r="AA10" s="537">
        <f t="shared" si="1"/>
        <v>18537248.18</v>
      </c>
    </row>
    <row r="11" spans="1:27" s="44" customFormat="1" ht="14.25">
      <c r="A11" s="230" t="s">
        <v>113</v>
      </c>
      <c r="B11" s="564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60"/>
      <c r="O11" s="548"/>
      <c r="P11" s="548"/>
      <c r="Q11" s="548"/>
      <c r="R11" s="548"/>
      <c r="S11" s="548"/>
      <c r="T11" s="553"/>
      <c r="U11" s="305"/>
      <c r="V11" s="547"/>
      <c r="W11" s="324"/>
      <c r="X11" s="536"/>
      <c r="Y11" s="539">
        <f t="shared" si="0"/>
        <v>0</v>
      </c>
      <c r="Z11" s="504"/>
      <c r="AA11" s="537">
        <f t="shared" si="1"/>
        <v>0</v>
      </c>
    </row>
    <row r="12" spans="1:27" s="44" customFormat="1" ht="14.25">
      <c r="A12" s="230" t="s">
        <v>117</v>
      </c>
      <c r="B12" s="564"/>
      <c r="C12" s="548"/>
      <c r="D12" s="548"/>
      <c r="E12" s="548">
        <v>27948</v>
      </c>
      <c r="F12" s="548">
        <v>15001.33</v>
      </c>
      <c r="G12" s="548"/>
      <c r="H12" s="548"/>
      <c r="I12" s="548"/>
      <c r="J12" s="548"/>
      <c r="K12" s="548">
        <v>20117</v>
      </c>
      <c r="L12" s="548"/>
      <c r="M12" s="548">
        <v>138788.97</v>
      </c>
      <c r="N12" s="560"/>
      <c r="O12" s="548">
        <v>16391</v>
      </c>
      <c r="P12" s="548">
        <v>26</v>
      </c>
      <c r="Q12" s="548">
        <v>202761</v>
      </c>
      <c r="R12" s="548"/>
      <c r="S12" s="500"/>
      <c r="T12" s="553"/>
      <c r="U12" s="305"/>
      <c r="V12" s="547"/>
      <c r="W12" s="324">
        <v>1</v>
      </c>
      <c r="X12" s="536"/>
      <c r="Y12" s="539">
        <f>SUM(B12+C12+D12+E12+F12+G12+H12+I12+J12+K12+L12+M12+N12+O12+P12+Q12+R12+S13+T12+U12+V12+W12+X12)</f>
        <v>543226.3</v>
      </c>
      <c r="Z12" s="504"/>
      <c r="AA12" s="537">
        <f t="shared" si="1"/>
        <v>543226.3</v>
      </c>
    </row>
    <row r="13" spans="1:27" s="44" customFormat="1" ht="14.25">
      <c r="A13" s="531" t="s">
        <v>279</v>
      </c>
      <c r="B13" s="564">
        <v>239689</v>
      </c>
      <c r="C13" s="548">
        <v>19564</v>
      </c>
      <c r="D13" s="548"/>
      <c r="E13" s="548">
        <v>936655</v>
      </c>
      <c r="F13" s="548">
        <v>29153.83</v>
      </c>
      <c r="G13" s="548">
        <v>106206</v>
      </c>
      <c r="H13" s="548">
        <v>6188066</v>
      </c>
      <c r="I13" s="548">
        <v>2638795</v>
      </c>
      <c r="J13" s="548">
        <v>104807</v>
      </c>
      <c r="K13" s="548">
        <v>9809</v>
      </c>
      <c r="L13" s="548">
        <v>647261</v>
      </c>
      <c r="M13" s="548">
        <v>672848.81</v>
      </c>
      <c r="N13" s="560">
        <v>66032</v>
      </c>
      <c r="O13" s="548">
        <v>76094</v>
      </c>
      <c r="P13" s="548">
        <v>335328</v>
      </c>
      <c r="Q13" s="548">
        <v>237159</v>
      </c>
      <c r="R13" s="548">
        <v>127735</v>
      </c>
      <c r="S13" s="548">
        <v>122192</v>
      </c>
      <c r="T13" s="553"/>
      <c r="U13" s="550">
        <v>862332.24</v>
      </c>
      <c r="V13" s="547">
        <v>4374662</v>
      </c>
      <c r="W13" s="324">
        <v>59952</v>
      </c>
      <c r="X13" s="536">
        <v>211363</v>
      </c>
      <c r="Y13" s="539">
        <f>SUM(B13+C13+D13+E13+F13+G13+H13+I13+J13+K13+L13+M13+N13+O13+P13+Q13+R13+S13+T13+U13+V13+W13+X13)</f>
        <v>18065703.880000003</v>
      </c>
      <c r="Z13" s="525"/>
      <c r="AA13" s="537">
        <f t="shared" si="1"/>
        <v>18065703.880000003</v>
      </c>
    </row>
    <row r="14" spans="1:27" s="44" customFormat="1" ht="14.25">
      <c r="A14" s="230" t="s">
        <v>118</v>
      </c>
      <c r="B14" s="548">
        <f>B9+B10</f>
        <v>207167</v>
      </c>
      <c r="C14" s="548">
        <v>36061</v>
      </c>
      <c r="D14" s="548">
        <f aca="true" t="shared" si="2" ref="D14:L14">D9+D10</f>
        <v>0</v>
      </c>
      <c r="E14" s="548">
        <v>1025885</v>
      </c>
      <c r="F14" s="548">
        <v>50274.39</v>
      </c>
      <c r="G14" s="548">
        <f t="shared" si="2"/>
        <v>139059</v>
      </c>
      <c r="H14" s="548">
        <v>6925729</v>
      </c>
      <c r="I14" s="548">
        <f t="shared" si="2"/>
        <v>3042937</v>
      </c>
      <c r="J14" s="548">
        <f t="shared" si="2"/>
        <v>128058</v>
      </c>
      <c r="K14" s="548">
        <v>29926</v>
      </c>
      <c r="L14" s="548">
        <f t="shared" si="2"/>
        <v>707952</v>
      </c>
      <c r="M14" s="548">
        <v>769914.41</v>
      </c>
      <c r="N14" s="548">
        <f>N9+N10</f>
        <v>85514</v>
      </c>
      <c r="O14" s="548">
        <v>81585</v>
      </c>
      <c r="P14" s="548">
        <v>358506</v>
      </c>
      <c r="Q14" s="548">
        <v>499506</v>
      </c>
      <c r="R14" s="548">
        <f aca="true" t="shared" si="3" ref="R14:X14">R9+R10</f>
        <v>165611</v>
      </c>
      <c r="S14" s="548">
        <f t="shared" si="3"/>
        <v>113488</v>
      </c>
      <c r="T14" s="548">
        <f t="shared" si="3"/>
        <v>0</v>
      </c>
      <c r="U14" s="548">
        <f t="shared" si="3"/>
        <v>771283.44</v>
      </c>
      <c r="V14" s="548">
        <f t="shared" si="3"/>
        <v>4228594</v>
      </c>
      <c r="W14" s="548">
        <f t="shared" si="3"/>
        <v>78961</v>
      </c>
      <c r="X14" s="548">
        <f t="shared" si="3"/>
        <v>269094</v>
      </c>
      <c r="Y14" s="539">
        <f>SUM(B14+C14+D14+E14+F14+G14+H14+I14+J14+K14+L14+M14+N14+O14+P14+Q14+R14+S14+T14+U14+V14+W14+X14)</f>
        <v>19715105.240000002</v>
      </c>
      <c r="Z14" s="504"/>
      <c r="AA14" s="537">
        <f t="shared" si="1"/>
        <v>19715105.240000002</v>
      </c>
    </row>
    <row r="15" spans="1:27" s="44" customFormat="1" ht="15" thickBot="1">
      <c r="A15" s="230" t="s">
        <v>119</v>
      </c>
      <c r="B15" s="566">
        <v>116124</v>
      </c>
      <c r="C15" s="557">
        <v>15283</v>
      </c>
      <c r="D15" s="557"/>
      <c r="E15" s="557">
        <v>137674</v>
      </c>
      <c r="F15" s="557">
        <v>27082.91</v>
      </c>
      <c r="G15" s="557">
        <v>38100</v>
      </c>
      <c r="H15" s="557">
        <v>1980811</v>
      </c>
      <c r="I15" s="557">
        <v>1311835</v>
      </c>
      <c r="J15" s="557">
        <v>60866</v>
      </c>
      <c r="K15" s="557">
        <v>18764</v>
      </c>
      <c r="L15" s="557">
        <v>384610</v>
      </c>
      <c r="M15" s="557">
        <v>396670.18</v>
      </c>
      <c r="N15" s="561">
        <v>28693</v>
      </c>
      <c r="O15" s="557">
        <v>47365</v>
      </c>
      <c r="P15" s="557">
        <v>123666</v>
      </c>
      <c r="Q15" s="557">
        <v>241130</v>
      </c>
      <c r="R15" s="557">
        <v>87574</v>
      </c>
      <c r="S15" s="557">
        <v>61599</v>
      </c>
      <c r="T15" s="554"/>
      <c r="U15" s="550">
        <v>394863.44</v>
      </c>
      <c r="V15" s="549">
        <v>2378286</v>
      </c>
      <c r="W15" s="544">
        <v>32948</v>
      </c>
      <c r="X15" s="538">
        <v>114585</v>
      </c>
      <c r="Y15" s="540">
        <f>SUM(B15+C15+D15+E15+F15+G15+H15+I15+J15+K15+L15+M15+N15+O15+P15+Q15+R15+S15+T15+U15+V15+W15+X15)</f>
        <v>7998529.53</v>
      </c>
      <c r="Z15" s="542"/>
      <c r="AA15" s="569">
        <f t="shared" si="1"/>
        <v>7998529.53</v>
      </c>
    </row>
    <row r="16" spans="1:27" s="899" customFormat="1" ht="15" thickBot="1">
      <c r="A16" s="891" t="s">
        <v>120</v>
      </c>
      <c r="B16" s="892">
        <v>1.78</v>
      </c>
      <c r="C16" s="893">
        <v>2.36</v>
      </c>
      <c r="D16" s="893"/>
      <c r="E16" s="893">
        <v>7.45</v>
      </c>
      <c r="F16" s="893">
        <v>1.86</v>
      </c>
      <c r="G16" s="893">
        <v>365</v>
      </c>
      <c r="H16" s="893">
        <v>350</v>
      </c>
      <c r="I16" s="893">
        <v>232</v>
      </c>
      <c r="J16" s="893">
        <v>210</v>
      </c>
      <c r="K16" s="893">
        <v>1.59</v>
      </c>
      <c r="L16" s="893">
        <v>184</v>
      </c>
      <c r="M16" s="893">
        <v>194.09</v>
      </c>
      <c r="N16" s="894">
        <v>298</v>
      </c>
      <c r="O16" s="893">
        <v>172</v>
      </c>
      <c r="P16" s="893">
        <v>2.9</v>
      </c>
      <c r="Q16" s="893">
        <v>2.07</v>
      </c>
      <c r="R16" s="893">
        <v>1.89</v>
      </c>
      <c r="S16" s="893">
        <v>1.84</v>
      </c>
      <c r="T16" s="895"/>
      <c r="U16" s="893">
        <v>1.95</v>
      </c>
      <c r="V16" s="896">
        <v>1.78</v>
      </c>
      <c r="W16" s="897">
        <v>2.4</v>
      </c>
      <c r="X16" s="891">
        <v>235</v>
      </c>
      <c r="Y16" s="898">
        <f>SUM(B16+C16+D16+E16+F16+G16+H16+I16+J16+K16+L16+M16+N16+O16+P16+Q16+R16+S16+T16+U16+V16+W16+X16)</f>
        <v>2269.96</v>
      </c>
      <c r="Z16" s="898"/>
      <c r="AA16" s="891">
        <f t="shared" si="1"/>
        <v>2269.96</v>
      </c>
    </row>
  </sheetData>
  <sheetProtection/>
  <mergeCells count="2">
    <mergeCell ref="A1:AA1"/>
    <mergeCell ref="A2:AA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Q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9.140625" defaultRowHeight="15"/>
  <cols>
    <col min="1" max="1" width="43.57421875" style="13" customWidth="1"/>
    <col min="2" max="2" width="16.28125" style="13" bestFit="1" customWidth="1"/>
    <col min="3" max="3" width="5.7109375" style="13" bestFit="1" customWidth="1"/>
    <col min="4" max="4" width="19.57421875" style="13" bestFit="1" customWidth="1"/>
    <col min="5" max="5" width="13.8515625" style="13" bestFit="1" customWidth="1"/>
    <col min="6" max="6" width="8.7109375" style="13" bestFit="1" customWidth="1"/>
    <col min="7" max="7" width="18.140625" style="13" customWidth="1"/>
    <col min="8" max="8" width="5.57421875" style="13" bestFit="1" customWidth="1"/>
    <col min="9" max="9" width="21.7109375" style="13" bestFit="1" customWidth="1"/>
    <col min="10" max="10" width="15.57421875" style="13" bestFit="1" customWidth="1"/>
    <col min="11" max="11" width="6.57421875" style="13" bestFit="1" customWidth="1"/>
    <col min="12" max="12" width="16.28125" style="13" bestFit="1" customWidth="1"/>
    <col min="13" max="13" width="5.140625" style="13" bestFit="1" customWidth="1"/>
    <col min="14" max="14" width="19.57421875" style="13" bestFit="1" customWidth="1"/>
    <col min="15" max="15" width="13.8515625" style="13" bestFit="1" customWidth="1"/>
    <col min="16" max="16" width="6.28125" style="13" bestFit="1" customWidth="1"/>
    <col min="17" max="17" width="16.28125" style="13" bestFit="1" customWidth="1"/>
    <col min="18" max="18" width="5.140625" style="13" bestFit="1" customWidth="1"/>
    <col min="19" max="19" width="19.57421875" style="13" bestFit="1" customWidth="1"/>
    <col min="20" max="20" width="13.8515625" style="13" bestFit="1" customWidth="1"/>
    <col min="21" max="21" width="9.00390625" style="13" bestFit="1" customWidth="1"/>
    <col min="22" max="22" width="16.28125" style="13" bestFit="1" customWidth="1"/>
    <col min="23" max="23" width="5.140625" style="13" bestFit="1" customWidth="1"/>
    <col min="24" max="24" width="19.57421875" style="13" bestFit="1" customWidth="1"/>
    <col min="25" max="25" width="13.8515625" style="13" bestFit="1" customWidth="1"/>
    <col min="26" max="26" width="9.7109375" style="13" bestFit="1" customWidth="1"/>
    <col min="27" max="27" width="16.28125" style="13" bestFit="1" customWidth="1"/>
    <col min="28" max="28" width="5.140625" style="13" bestFit="1" customWidth="1"/>
    <col min="29" max="29" width="19.57421875" style="13" bestFit="1" customWidth="1"/>
    <col min="30" max="30" width="13.8515625" style="13" bestFit="1" customWidth="1"/>
    <col min="31" max="31" width="9.7109375" style="13" bestFit="1" customWidth="1"/>
    <col min="32" max="32" width="16.28125" style="13" bestFit="1" customWidth="1"/>
    <col min="33" max="33" width="5.140625" style="13" bestFit="1" customWidth="1"/>
    <col min="34" max="34" width="19.57421875" style="13" bestFit="1" customWidth="1"/>
    <col min="35" max="35" width="13.8515625" style="13" bestFit="1" customWidth="1"/>
    <col min="36" max="36" width="9.7109375" style="13" bestFit="1" customWidth="1"/>
    <col min="37" max="37" width="16.28125" style="13" bestFit="1" customWidth="1"/>
    <col min="38" max="38" width="5.140625" style="13" bestFit="1" customWidth="1"/>
    <col min="39" max="39" width="19.57421875" style="13" bestFit="1" customWidth="1"/>
    <col min="40" max="40" width="13.8515625" style="13" bestFit="1" customWidth="1"/>
    <col min="41" max="41" width="9.7109375" style="13" bestFit="1" customWidth="1"/>
    <col min="42" max="42" width="16.28125" style="13" bestFit="1" customWidth="1"/>
    <col min="43" max="43" width="6.00390625" style="13" bestFit="1" customWidth="1"/>
    <col min="44" max="44" width="19.57421875" style="13" bestFit="1" customWidth="1"/>
    <col min="45" max="45" width="13.8515625" style="13" bestFit="1" customWidth="1"/>
    <col min="46" max="46" width="8.00390625" style="13" bestFit="1" customWidth="1"/>
    <col min="47" max="47" width="16.28125" style="13" bestFit="1" customWidth="1"/>
    <col min="48" max="48" width="5.140625" style="13" bestFit="1" customWidth="1"/>
    <col min="49" max="49" width="19.57421875" style="13" bestFit="1" customWidth="1"/>
    <col min="50" max="50" width="13.8515625" style="13" bestFit="1" customWidth="1"/>
    <col min="51" max="51" width="8.00390625" style="13" bestFit="1" customWidth="1"/>
    <col min="52" max="52" width="16.28125" style="13" bestFit="1" customWidth="1"/>
    <col min="53" max="53" width="5.8515625" style="13" bestFit="1" customWidth="1"/>
    <col min="54" max="54" width="19.57421875" style="13" bestFit="1" customWidth="1"/>
    <col min="55" max="55" width="13.8515625" style="13" bestFit="1" customWidth="1"/>
    <col min="56" max="56" width="11.00390625" style="13" bestFit="1" customWidth="1"/>
    <col min="57" max="57" width="16.28125" style="13" bestFit="1" customWidth="1"/>
    <col min="58" max="58" width="8.7109375" style="13" bestFit="1" customWidth="1"/>
    <col min="59" max="59" width="19.57421875" style="13" bestFit="1" customWidth="1"/>
    <col min="60" max="60" width="13.8515625" style="13" bestFit="1" customWidth="1"/>
    <col min="61" max="61" width="10.7109375" style="13" bestFit="1" customWidth="1"/>
    <col min="62" max="62" width="16.28125" style="13" bestFit="1" customWidth="1"/>
    <col min="63" max="63" width="6.7109375" style="13" bestFit="1" customWidth="1"/>
    <col min="64" max="64" width="19.57421875" style="13" bestFit="1" customWidth="1"/>
    <col min="65" max="65" width="13.8515625" style="13" bestFit="1" customWidth="1"/>
    <col min="66" max="66" width="10.00390625" style="13" bestFit="1" customWidth="1"/>
    <col min="67" max="67" width="16.28125" style="13" bestFit="1" customWidth="1"/>
    <col min="68" max="68" width="5.140625" style="13" bestFit="1" customWidth="1"/>
    <col min="69" max="69" width="19.57421875" style="13" bestFit="1" customWidth="1"/>
    <col min="70" max="70" width="13.8515625" style="13" bestFit="1" customWidth="1"/>
    <col min="71" max="71" width="9.7109375" style="13" bestFit="1" customWidth="1"/>
    <col min="72" max="72" width="16.28125" style="13" bestFit="1" customWidth="1"/>
    <col min="73" max="73" width="6.00390625" style="13" bestFit="1" customWidth="1"/>
    <col min="74" max="74" width="19.57421875" style="13" bestFit="1" customWidth="1"/>
    <col min="75" max="75" width="13.8515625" style="13" bestFit="1" customWidth="1"/>
    <col min="76" max="76" width="9.00390625" style="13" bestFit="1" customWidth="1"/>
    <col min="77" max="77" width="16.28125" style="13" bestFit="1" customWidth="1"/>
    <col min="78" max="78" width="5.140625" style="13" bestFit="1" customWidth="1"/>
    <col min="79" max="79" width="19.57421875" style="13" bestFit="1" customWidth="1"/>
    <col min="80" max="80" width="13.8515625" style="13" bestFit="1" customWidth="1"/>
    <col min="81" max="81" width="8.7109375" style="13" bestFit="1" customWidth="1"/>
    <col min="82" max="82" width="16.28125" style="13" bestFit="1" customWidth="1"/>
    <col min="83" max="83" width="5.140625" style="13" bestFit="1" customWidth="1"/>
    <col min="84" max="84" width="19.57421875" style="13" bestFit="1" customWidth="1"/>
    <col min="85" max="85" width="13.8515625" style="13" bestFit="1" customWidth="1"/>
    <col min="86" max="86" width="10.00390625" style="13" bestFit="1" customWidth="1"/>
    <col min="87" max="87" width="16.28125" style="13" bestFit="1" customWidth="1"/>
    <col min="88" max="88" width="5.140625" style="13" bestFit="1" customWidth="1"/>
    <col min="89" max="89" width="19.57421875" style="13" bestFit="1" customWidth="1"/>
    <col min="90" max="90" width="13.8515625" style="13" bestFit="1" customWidth="1"/>
    <col min="91" max="91" width="8.7109375" style="13" bestFit="1" customWidth="1"/>
    <col min="92" max="92" width="16.28125" style="13" bestFit="1" customWidth="1"/>
    <col min="93" max="93" width="5.140625" style="13" bestFit="1" customWidth="1"/>
    <col min="94" max="94" width="19.57421875" style="13" bestFit="1" customWidth="1"/>
    <col min="95" max="95" width="13.8515625" style="13" bestFit="1" customWidth="1"/>
    <col min="96" max="96" width="6.28125" style="13" bestFit="1" customWidth="1"/>
    <col min="97" max="97" width="16.28125" style="13" bestFit="1" customWidth="1"/>
    <col min="98" max="98" width="8.7109375" style="13" bestFit="1" customWidth="1"/>
    <col min="99" max="99" width="19.57421875" style="13" bestFit="1" customWidth="1"/>
    <col min="100" max="100" width="13.8515625" style="13" bestFit="1" customWidth="1"/>
    <col min="101" max="101" width="10.7109375" style="13" bestFit="1" customWidth="1"/>
    <col min="102" max="102" width="16.28125" style="13" bestFit="1" customWidth="1"/>
    <col min="103" max="103" width="5.140625" style="13" bestFit="1" customWidth="1"/>
    <col min="104" max="104" width="19.57421875" style="13" bestFit="1" customWidth="1"/>
    <col min="105" max="105" width="13.8515625" style="13" bestFit="1" customWidth="1"/>
    <col min="106" max="106" width="8.00390625" style="13" bestFit="1" customWidth="1"/>
    <col min="107" max="107" width="16.28125" style="13" bestFit="1" customWidth="1"/>
    <col min="108" max="108" width="5.140625" style="13" bestFit="1" customWidth="1"/>
    <col min="109" max="109" width="19.57421875" style="13" bestFit="1" customWidth="1"/>
    <col min="110" max="110" width="13.8515625" style="13" bestFit="1" customWidth="1"/>
    <col min="111" max="111" width="7.7109375" style="13" bestFit="1" customWidth="1"/>
    <col min="112" max="112" width="16.28125" style="13" bestFit="1" customWidth="1"/>
    <col min="113" max="113" width="5.140625" style="13" bestFit="1" customWidth="1"/>
    <col min="114" max="114" width="19.57421875" style="13" bestFit="1" customWidth="1"/>
    <col min="115" max="115" width="13.8515625" style="13" bestFit="1" customWidth="1"/>
    <col min="116" max="116" width="11.00390625" style="13" bestFit="1" customWidth="1"/>
    <col min="117" max="117" width="16.28125" style="13" bestFit="1" customWidth="1"/>
    <col min="118" max="118" width="5.140625" style="13" bestFit="1" customWidth="1"/>
    <col min="119" max="119" width="19.57421875" style="13" bestFit="1" customWidth="1"/>
    <col min="120" max="120" width="13.8515625" style="13" bestFit="1" customWidth="1"/>
    <col min="121" max="121" width="6.28125" style="13" customWidth="1"/>
    <col min="122" max="16384" width="9.140625" style="13" customWidth="1"/>
  </cols>
  <sheetData>
    <row r="1" spans="1:121" ht="14.25">
      <c r="A1" s="1800" t="s">
        <v>254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  <c r="U1" s="1800"/>
      <c r="V1" s="1800"/>
      <c r="W1" s="1800"/>
      <c r="X1" s="1800"/>
      <c r="Y1" s="1800"/>
      <c r="Z1" s="1800"/>
      <c r="AA1" s="1800"/>
      <c r="AB1" s="1800"/>
      <c r="AC1" s="1800"/>
      <c r="AD1" s="1800"/>
      <c r="AE1" s="1800"/>
      <c r="AF1" s="1800"/>
      <c r="AG1" s="1800"/>
      <c r="AH1" s="1800"/>
      <c r="AI1" s="1800"/>
      <c r="AJ1" s="1800"/>
      <c r="AK1" s="1800"/>
      <c r="AL1" s="1800"/>
      <c r="AM1" s="1800"/>
      <c r="AN1" s="1800"/>
      <c r="AO1" s="1800"/>
      <c r="AP1" s="1800"/>
      <c r="AQ1" s="1800"/>
      <c r="AR1" s="1800"/>
      <c r="AS1" s="1800"/>
      <c r="AT1" s="1800"/>
      <c r="AU1" s="1800"/>
      <c r="AV1" s="1800"/>
      <c r="AW1" s="1800"/>
      <c r="AX1" s="1800"/>
      <c r="AY1" s="1800"/>
      <c r="AZ1" s="1800"/>
      <c r="BA1" s="1800"/>
      <c r="BB1" s="1800"/>
      <c r="BC1" s="1800"/>
      <c r="BD1" s="1800"/>
      <c r="BE1" s="1800"/>
      <c r="BF1" s="1800"/>
      <c r="BG1" s="1800"/>
      <c r="BH1" s="1800"/>
      <c r="BI1" s="1800"/>
      <c r="BJ1" s="1800"/>
      <c r="BK1" s="1800"/>
      <c r="BL1" s="1800"/>
      <c r="BM1" s="1800"/>
      <c r="BN1" s="1800"/>
      <c r="BO1" s="1800"/>
      <c r="BP1" s="1800"/>
      <c r="BQ1" s="1800"/>
      <c r="BR1" s="1800"/>
      <c r="BS1" s="1800"/>
      <c r="BT1" s="1800"/>
      <c r="BU1" s="1800"/>
      <c r="BV1" s="1800"/>
      <c r="BW1" s="1800"/>
      <c r="BX1" s="1800"/>
      <c r="BY1" s="1800"/>
      <c r="BZ1" s="1800"/>
      <c r="CA1" s="1800"/>
      <c r="CB1" s="1800"/>
      <c r="CC1" s="1800"/>
      <c r="CD1" s="1800"/>
      <c r="CE1" s="1800"/>
      <c r="CF1" s="1800"/>
      <c r="CG1" s="1800"/>
      <c r="CH1" s="1800"/>
      <c r="CI1" s="1800"/>
      <c r="CJ1" s="1800"/>
      <c r="CK1" s="1800"/>
      <c r="CL1" s="1800"/>
      <c r="CM1" s="1800"/>
      <c r="CN1" s="1800"/>
      <c r="CO1" s="1800"/>
      <c r="CP1" s="1800"/>
      <c r="CQ1" s="1800"/>
      <c r="CR1" s="1800"/>
      <c r="CS1" s="1800"/>
      <c r="CT1" s="1800"/>
      <c r="CU1" s="1800"/>
      <c r="CV1" s="1800"/>
      <c r="CW1" s="1800"/>
      <c r="CX1" s="1800"/>
      <c r="CY1" s="1800"/>
      <c r="CZ1" s="1800"/>
      <c r="DA1" s="1800"/>
      <c r="DB1" s="1800"/>
      <c r="DC1" s="1800"/>
      <c r="DD1" s="1800"/>
      <c r="DE1" s="1800"/>
      <c r="DF1" s="1800"/>
      <c r="DG1" s="1800"/>
      <c r="DH1" s="1800"/>
      <c r="DI1" s="1800"/>
      <c r="DJ1" s="1800"/>
      <c r="DK1" s="1800"/>
      <c r="DL1" s="1800"/>
      <c r="DM1" s="1800"/>
      <c r="DN1" s="1800"/>
      <c r="DO1" s="1800"/>
      <c r="DP1" s="1800"/>
      <c r="DQ1" s="1800"/>
    </row>
    <row r="2" spans="1:121" ht="15" thickBot="1">
      <c r="A2" s="1730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1730"/>
      <c r="Y2" s="1730"/>
      <c r="Z2" s="1730"/>
      <c r="AA2" s="1730"/>
      <c r="AB2" s="1730"/>
      <c r="AC2" s="1730"/>
      <c r="AD2" s="1730"/>
      <c r="AE2" s="1730"/>
      <c r="AF2" s="1730"/>
      <c r="AG2" s="1730"/>
      <c r="AH2" s="1730"/>
      <c r="AI2" s="1730"/>
      <c r="AJ2" s="1730"/>
      <c r="AK2" s="1730"/>
      <c r="AL2" s="1730"/>
      <c r="AM2" s="1730"/>
      <c r="AN2" s="1730"/>
      <c r="AO2" s="1730"/>
      <c r="AP2" s="1730"/>
      <c r="AQ2" s="1730"/>
      <c r="AR2" s="1730"/>
      <c r="AS2" s="1730"/>
      <c r="AT2" s="1730"/>
      <c r="AU2" s="1730"/>
      <c r="AV2" s="1730"/>
      <c r="AW2" s="1730"/>
      <c r="AX2" s="1730"/>
      <c r="AY2" s="1730"/>
      <c r="AZ2" s="1730"/>
      <c r="BA2" s="1730"/>
      <c r="BB2" s="1730"/>
      <c r="BC2" s="1730"/>
      <c r="BD2" s="1730"/>
      <c r="BE2" s="1730"/>
      <c r="BF2" s="1730"/>
      <c r="BG2" s="1730"/>
      <c r="BH2" s="1730"/>
      <c r="BI2" s="1730"/>
      <c r="BJ2" s="1730"/>
      <c r="BK2" s="1730"/>
      <c r="BL2" s="1730"/>
      <c r="BM2" s="1730"/>
      <c r="BN2" s="1730"/>
      <c r="BO2" s="1730"/>
      <c r="BP2" s="1730"/>
      <c r="BQ2" s="1730"/>
      <c r="BR2" s="1730"/>
      <c r="BS2" s="1730"/>
      <c r="BT2" s="1730"/>
      <c r="BU2" s="1730"/>
      <c r="BV2" s="1730"/>
      <c r="BW2" s="1730"/>
      <c r="BX2" s="1730"/>
      <c r="BY2" s="1730"/>
      <c r="BZ2" s="1730"/>
      <c r="CA2" s="1730"/>
      <c r="CB2" s="1730"/>
      <c r="CC2" s="1730"/>
      <c r="CD2" s="1730"/>
      <c r="CE2" s="1730"/>
      <c r="CF2" s="1730"/>
      <c r="CG2" s="1730"/>
      <c r="CH2" s="1730"/>
      <c r="CI2" s="1730"/>
      <c r="CJ2" s="1730"/>
      <c r="CK2" s="1730"/>
      <c r="CL2" s="1730"/>
      <c r="CM2" s="1730"/>
      <c r="CN2" s="1730"/>
      <c r="CO2" s="1730"/>
      <c r="CP2" s="1730"/>
      <c r="CQ2" s="1730"/>
      <c r="CR2" s="1730"/>
      <c r="CS2" s="1730"/>
      <c r="CT2" s="1730"/>
      <c r="CU2" s="1730"/>
      <c r="CV2" s="1730"/>
      <c r="CW2" s="1730"/>
      <c r="CX2" s="1730"/>
      <c r="CY2" s="1730"/>
      <c r="CZ2" s="1730"/>
      <c r="DA2" s="1730"/>
      <c r="DB2" s="1730"/>
      <c r="DC2" s="1730"/>
      <c r="DD2" s="1730"/>
      <c r="DE2" s="1730"/>
      <c r="DF2" s="1730"/>
      <c r="DG2" s="1730"/>
      <c r="DH2" s="1730"/>
      <c r="DI2" s="1730"/>
      <c r="DJ2" s="1730"/>
      <c r="DK2" s="1730"/>
      <c r="DL2" s="1730"/>
      <c r="DM2" s="1730"/>
      <c r="DN2" s="1730"/>
      <c r="DO2" s="1730"/>
      <c r="DP2" s="1730"/>
      <c r="DQ2" s="1730"/>
    </row>
    <row r="3" spans="1:121" ht="27.75" customHeight="1" thickBot="1">
      <c r="A3" s="1808" t="s">
        <v>0</v>
      </c>
      <c r="B3" s="1810" t="s">
        <v>248</v>
      </c>
      <c r="C3" s="1811"/>
      <c r="D3" s="1811"/>
      <c r="E3" s="1811"/>
      <c r="F3" s="1812"/>
      <c r="G3" s="1813" t="s">
        <v>185</v>
      </c>
      <c r="H3" s="1770"/>
      <c r="I3" s="1770"/>
      <c r="J3" s="1770"/>
      <c r="K3" s="1771"/>
      <c r="L3" s="1776" t="s">
        <v>186</v>
      </c>
      <c r="M3" s="1776"/>
      <c r="N3" s="1776"/>
      <c r="O3" s="1776"/>
      <c r="P3" s="1777"/>
      <c r="Q3" s="1775" t="s">
        <v>247</v>
      </c>
      <c r="R3" s="1776"/>
      <c r="S3" s="1776"/>
      <c r="T3" s="1776"/>
      <c r="U3" s="1777"/>
      <c r="V3" s="1802" t="s">
        <v>246</v>
      </c>
      <c r="W3" s="1803"/>
      <c r="X3" s="1803"/>
      <c r="Y3" s="1803"/>
      <c r="Z3" s="1804"/>
      <c r="AA3" s="1775" t="s">
        <v>245</v>
      </c>
      <c r="AB3" s="1776"/>
      <c r="AC3" s="1776"/>
      <c r="AD3" s="1776"/>
      <c r="AE3" s="1777"/>
      <c r="AF3" s="1775" t="s">
        <v>529</v>
      </c>
      <c r="AG3" s="1776"/>
      <c r="AH3" s="1776"/>
      <c r="AI3" s="1776"/>
      <c r="AJ3" s="1777"/>
      <c r="AK3" s="1775" t="s">
        <v>255</v>
      </c>
      <c r="AL3" s="1776"/>
      <c r="AM3" s="1776"/>
      <c r="AN3" s="1776"/>
      <c r="AO3" s="1777"/>
      <c r="AP3" s="1775" t="s">
        <v>244</v>
      </c>
      <c r="AQ3" s="1776"/>
      <c r="AR3" s="1776"/>
      <c r="AS3" s="1776"/>
      <c r="AT3" s="1777"/>
      <c r="AU3" s="1778" t="s">
        <v>243</v>
      </c>
      <c r="AV3" s="1779"/>
      <c r="AW3" s="1779"/>
      <c r="AX3" s="1779"/>
      <c r="AY3" s="1818"/>
      <c r="AZ3" s="1778" t="s">
        <v>242</v>
      </c>
      <c r="BA3" s="1779"/>
      <c r="BB3" s="1779"/>
      <c r="BC3" s="1779"/>
      <c r="BD3" s="1780"/>
      <c r="BE3" s="1782" t="s">
        <v>241</v>
      </c>
      <c r="BF3" s="1783"/>
      <c r="BG3" s="1783"/>
      <c r="BH3" s="1783"/>
      <c r="BI3" s="1784"/>
      <c r="BJ3" s="1782" t="s">
        <v>217</v>
      </c>
      <c r="BK3" s="1783"/>
      <c r="BL3" s="1783"/>
      <c r="BM3" s="1783"/>
      <c r="BN3" s="1784"/>
      <c r="BO3" s="1778" t="s">
        <v>240</v>
      </c>
      <c r="BP3" s="1779"/>
      <c r="BQ3" s="1779"/>
      <c r="BR3" s="1779"/>
      <c r="BS3" s="1780"/>
      <c r="BT3" s="1805" t="s">
        <v>239</v>
      </c>
      <c r="BU3" s="1806"/>
      <c r="BV3" s="1806"/>
      <c r="BW3" s="1806"/>
      <c r="BX3" s="1807"/>
      <c r="BY3" s="1781" t="s">
        <v>238</v>
      </c>
      <c r="BZ3" s="1779"/>
      <c r="CA3" s="1779"/>
      <c r="CB3" s="1779"/>
      <c r="CC3" s="1780"/>
      <c r="CD3" s="1781" t="s">
        <v>237</v>
      </c>
      <c r="CE3" s="1779"/>
      <c r="CF3" s="1779"/>
      <c r="CG3" s="1779"/>
      <c r="CH3" s="1780"/>
      <c r="CI3" s="1778" t="s">
        <v>236</v>
      </c>
      <c r="CJ3" s="1779"/>
      <c r="CK3" s="1779"/>
      <c r="CL3" s="1779"/>
      <c r="CM3" s="1780"/>
      <c r="CN3" s="1817" t="s">
        <v>201</v>
      </c>
      <c r="CO3" s="1806"/>
      <c r="CP3" s="1806"/>
      <c r="CQ3" s="1806"/>
      <c r="CR3" s="1807"/>
      <c r="CS3" s="1770" t="s">
        <v>233</v>
      </c>
      <c r="CT3" s="1770"/>
      <c r="CU3" s="1770"/>
      <c r="CV3" s="1770"/>
      <c r="CW3" s="1771"/>
      <c r="CX3" s="1775" t="s">
        <v>234</v>
      </c>
      <c r="CY3" s="1776"/>
      <c r="CZ3" s="1776"/>
      <c r="DA3" s="1776"/>
      <c r="DB3" s="1777"/>
      <c r="DC3" s="1775" t="s">
        <v>235</v>
      </c>
      <c r="DD3" s="1776"/>
      <c r="DE3" s="1776"/>
      <c r="DF3" s="1776"/>
      <c r="DG3" s="1777"/>
      <c r="DH3" s="1775" t="s">
        <v>205</v>
      </c>
      <c r="DI3" s="1776"/>
      <c r="DJ3" s="1776"/>
      <c r="DK3" s="1776"/>
      <c r="DL3" s="1777"/>
      <c r="DM3" s="1814" t="s">
        <v>206</v>
      </c>
      <c r="DN3" s="1815"/>
      <c r="DO3" s="1815"/>
      <c r="DP3" s="1815"/>
      <c r="DQ3" s="1816"/>
    </row>
    <row r="4" spans="1:121" s="873" customFormat="1" ht="15" thickBot="1">
      <c r="A4" s="1809"/>
      <c r="B4" s="900" t="s">
        <v>208</v>
      </c>
      <c r="C4" s="901" t="s">
        <v>175</v>
      </c>
      <c r="D4" s="901" t="s">
        <v>209</v>
      </c>
      <c r="E4" s="901" t="s">
        <v>210</v>
      </c>
      <c r="F4" s="902" t="s">
        <v>211</v>
      </c>
      <c r="G4" s="1233" t="s">
        <v>208</v>
      </c>
      <c r="H4" s="1234" t="s">
        <v>175</v>
      </c>
      <c r="I4" s="1234" t="s">
        <v>209</v>
      </c>
      <c r="J4" s="1234" t="s">
        <v>210</v>
      </c>
      <c r="K4" s="1235" t="s">
        <v>211</v>
      </c>
      <c r="L4" s="845" t="s">
        <v>208</v>
      </c>
      <c r="M4" s="845" t="s">
        <v>175</v>
      </c>
      <c r="N4" s="845" t="s">
        <v>209</v>
      </c>
      <c r="O4" s="845" t="s">
        <v>210</v>
      </c>
      <c r="P4" s="802" t="s">
        <v>211</v>
      </c>
      <c r="Q4" s="844" t="s">
        <v>208</v>
      </c>
      <c r="R4" s="845" t="s">
        <v>175</v>
      </c>
      <c r="S4" s="845" t="s">
        <v>209</v>
      </c>
      <c r="T4" s="845" t="s">
        <v>210</v>
      </c>
      <c r="U4" s="802" t="s">
        <v>211</v>
      </c>
      <c r="V4" s="844" t="s">
        <v>208</v>
      </c>
      <c r="W4" s="845" t="s">
        <v>175</v>
      </c>
      <c r="X4" s="845" t="s">
        <v>209</v>
      </c>
      <c r="Y4" s="845" t="s">
        <v>210</v>
      </c>
      <c r="Z4" s="802" t="s">
        <v>211</v>
      </c>
      <c r="AA4" s="844" t="s">
        <v>208</v>
      </c>
      <c r="AB4" s="845" t="s">
        <v>175</v>
      </c>
      <c r="AC4" s="845" t="s">
        <v>209</v>
      </c>
      <c r="AD4" s="845" t="s">
        <v>210</v>
      </c>
      <c r="AE4" s="802" t="s">
        <v>211</v>
      </c>
      <c r="AF4" s="844" t="s">
        <v>208</v>
      </c>
      <c r="AG4" s="845" t="s">
        <v>175</v>
      </c>
      <c r="AH4" s="845" t="s">
        <v>209</v>
      </c>
      <c r="AI4" s="845" t="s">
        <v>210</v>
      </c>
      <c r="AJ4" s="802" t="s">
        <v>211</v>
      </c>
      <c r="AK4" s="844" t="s">
        <v>208</v>
      </c>
      <c r="AL4" s="845" t="s">
        <v>175</v>
      </c>
      <c r="AM4" s="845" t="s">
        <v>209</v>
      </c>
      <c r="AN4" s="845" t="s">
        <v>210</v>
      </c>
      <c r="AO4" s="802" t="s">
        <v>211</v>
      </c>
      <c r="AP4" s="844" t="s">
        <v>208</v>
      </c>
      <c r="AQ4" s="845" t="s">
        <v>175</v>
      </c>
      <c r="AR4" s="845" t="s">
        <v>209</v>
      </c>
      <c r="AS4" s="845" t="s">
        <v>210</v>
      </c>
      <c r="AT4" s="802" t="s">
        <v>211</v>
      </c>
      <c r="AU4" s="844" t="s">
        <v>208</v>
      </c>
      <c r="AV4" s="845" t="s">
        <v>175</v>
      </c>
      <c r="AW4" s="845" t="s">
        <v>209</v>
      </c>
      <c r="AX4" s="845" t="s">
        <v>210</v>
      </c>
      <c r="AY4" s="845" t="s">
        <v>211</v>
      </c>
      <c r="AZ4" s="844" t="s">
        <v>208</v>
      </c>
      <c r="BA4" s="845" t="s">
        <v>175</v>
      </c>
      <c r="BB4" s="845" t="s">
        <v>209</v>
      </c>
      <c r="BC4" s="845" t="s">
        <v>210</v>
      </c>
      <c r="BD4" s="802" t="s">
        <v>211</v>
      </c>
      <c r="BE4" s="844" t="s">
        <v>208</v>
      </c>
      <c r="BF4" s="845" t="s">
        <v>175</v>
      </c>
      <c r="BG4" s="845" t="s">
        <v>209</v>
      </c>
      <c r="BH4" s="845" t="s">
        <v>210</v>
      </c>
      <c r="BI4" s="802" t="s">
        <v>211</v>
      </c>
      <c r="BJ4" s="844" t="s">
        <v>208</v>
      </c>
      <c r="BK4" s="845" t="s">
        <v>175</v>
      </c>
      <c r="BL4" s="845" t="s">
        <v>209</v>
      </c>
      <c r="BM4" s="845" t="s">
        <v>210</v>
      </c>
      <c r="BN4" s="802" t="s">
        <v>211</v>
      </c>
      <c r="BO4" s="844" t="s">
        <v>208</v>
      </c>
      <c r="BP4" s="845" t="s">
        <v>175</v>
      </c>
      <c r="BQ4" s="845" t="s">
        <v>209</v>
      </c>
      <c r="BR4" s="845" t="s">
        <v>210</v>
      </c>
      <c r="BS4" s="802" t="s">
        <v>211</v>
      </c>
      <c r="BT4" s="844" t="s">
        <v>208</v>
      </c>
      <c r="BU4" s="845" t="s">
        <v>175</v>
      </c>
      <c r="BV4" s="845" t="s">
        <v>209</v>
      </c>
      <c r="BW4" s="845" t="s">
        <v>210</v>
      </c>
      <c r="BX4" s="802" t="s">
        <v>211</v>
      </c>
      <c r="BY4" s="845" t="s">
        <v>208</v>
      </c>
      <c r="BZ4" s="845" t="s">
        <v>175</v>
      </c>
      <c r="CA4" s="845" t="s">
        <v>209</v>
      </c>
      <c r="CB4" s="845" t="s">
        <v>210</v>
      </c>
      <c r="CC4" s="802" t="s">
        <v>211</v>
      </c>
      <c r="CD4" s="845" t="s">
        <v>208</v>
      </c>
      <c r="CE4" s="845" t="s">
        <v>175</v>
      </c>
      <c r="CF4" s="845" t="s">
        <v>209</v>
      </c>
      <c r="CG4" s="845" t="s">
        <v>210</v>
      </c>
      <c r="CH4" s="802" t="s">
        <v>211</v>
      </c>
      <c r="CI4" s="844" t="s">
        <v>208</v>
      </c>
      <c r="CJ4" s="845" t="s">
        <v>175</v>
      </c>
      <c r="CK4" s="845" t="s">
        <v>209</v>
      </c>
      <c r="CL4" s="845" t="s">
        <v>210</v>
      </c>
      <c r="CM4" s="802" t="s">
        <v>211</v>
      </c>
      <c r="CN4" s="845" t="s">
        <v>208</v>
      </c>
      <c r="CO4" s="845" t="s">
        <v>175</v>
      </c>
      <c r="CP4" s="845" t="s">
        <v>209</v>
      </c>
      <c r="CQ4" s="845" t="s">
        <v>210</v>
      </c>
      <c r="CR4" s="802" t="s">
        <v>211</v>
      </c>
      <c r="CS4" s="844" t="s">
        <v>208</v>
      </c>
      <c r="CT4" s="845" t="s">
        <v>175</v>
      </c>
      <c r="CU4" s="845" t="s">
        <v>209</v>
      </c>
      <c r="CV4" s="845" t="s">
        <v>210</v>
      </c>
      <c r="CW4" s="802" t="s">
        <v>211</v>
      </c>
      <c r="CX4" s="844" t="s">
        <v>208</v>
      </c>
      <c r="CY4" s="845" t="s">
        <v>175</v>
      </c>
      <c r="CZ4" s="845" t="s">
        <v>209</v>
      </c>
      <c r="DA4" s="845" t="s">
        <v>210</v>
      </c>
      <c r="DB4" s="802" t="s">
        <v>211</v>
      </c>
      <c r="DC4" s="844" t="s">
        <v>208</v>
      </c>
      <c r="DD4" s="845" t="s">
        <v>175</v>
      </c>
      <c r="DE4" s="845" t="s">
        <v>209</v>
      </c>
      <c r="DF4" s="845" t="s">
        <v>210</v>
      </c>
      <c r="DG4" s="802" t="s">
        <v>211</v>
      </c>
      <c r="DH4" s="844" t="s">
        <v>208</v>
      </c>
      <c r="DI4" s="845" t="s">
        <v>175</v>
      </c>
      <c r="DJ4" s="845" t="s">
        <v>209</v>
      </c>
      <c r="DK4" s="845" t="s">
        <v>210</v>
      </c>
      <c r="DL4" s="802" t="s">
        <v>211</v>
      </c>
      <c r="DM4" s="844" t="s">
        <v>208</v>
      </c>
      <c r="DN4" s="845" t="s">
        <v>175</v>
      </c>
      <c r="DO4" s="845" t="s">
        <v>209</v>
      </c>
      <c r="DP4" s="845" t="s">
        <v>210</v>
      </c>
      <c r="DQ4" s="802" t="s">
        <v>211</v>
      </c>
    </row>
    <row r="5" spans="1:121" ht="15" thickBot="1">
      <c r="A5" s="483" t="s">
        <v>212</v>
      </c>
      <c r="B5" s="481">
        <v>5044.598632</v>
      </c>
      <c r="C5" s="472">
        <v>23.820821</v>
      </c>
      <c r="D5" s="472"/>
      <c r="E5" s="472">
        <v>8668.355645</v>
      </c>
      <c r="F5" s="473">
        <v>13736.775098</v>
      </c>
      <c r="G5" s="460" t="s">
        <v>429</v>
      </c>
      <c r="H5" s="461" t="s">
        <v>429</v>
      </c>
      <c r="I5" s="461" t="s">
        <v>429</v>
      </c>
      <c r="J5" s="461" t="s">
        <v>429</v>
      </c>
      <c r="K5" s="462" t="s">
        <v>429</v>
      </c>
      <c r="L5" s="468"/>
      <c r="M5" s="461"/>
      <c r="N5" s="461"/>
      <c r="O5" s="461"/>
      <c r="P5" s="462"/>
      <c r="Q5" s="460">
        <v>6152.67</v>
      </c>
      <c r="R5" s="461"/>
      <c r="S5" s="461">
        <v>2698.9</v>
      </c>
      <c r="T5" s="461">
        <v>20065.07</v>
      </c>
      <c r="U5" s="462">
        <v>28916.64</v>
      </c>
      <c r="V5" s="460">
        <v>186012</v>
      </c>
      <c r="W5" s="461"/>
      <c r="X5" s="461">
        <v>6721</v>
      </c>
      <c r="Y5" s="461">
        <v>363032</v>
      </c>
      <c r="Z5" s="462">
        <v>555765</v>
      </c>
      <c r="AA5" s="460">
        <v>230101</v>
      </c>
      <c r="AB5" s="461"/>
      <c r="AC5" s="461"/>
      <c r="AD5" s="461">
        <v>239265</v>
      </c>
      <c r="AE5" s="462">
        <v>523366</v>
      </c>
      <c r="AF5" s="570">
        <v>124284.27</v>
      </c>
      <c r="AG5" s="571"/>
      <c r="AH5" s="571">
        <v>65</v>
      </c>
      <c r="AI5" s="571">
        <v>196210.39</v>
      </c>
      <c r="AJ5" s="572">
        <v>320559.65</v>
      </c>
      <c r="AK5" s="460">
        <v>39820</v>
      </c>
      <c r="AL5" s="461" t="s">
        <v>429</v>
      </c>
      <c r="AM5" s="461">
        <v>30105</v>
      </c>
      <c r="AN5" s="461">
        <v>146224</v>
      </c>
      <c r="AO5" s="462">
        <v>216149</v>
      </c>
      <c r="AP5" s="460">
        <v>293910</v>
      </c>
      <c r="AQ5" s="461">
        <v>45689</v>
      </c>
      <c r="AR5" s="461">
        <v>781745</v>
      </c>
      <c r="AS5" s="461">
        <v>66137</v>
      </c>
      <c r="AT5" s="467">
        <v>1187482</v>
      </c>
      <c r="AU5" s="460">
        <v>674.9</v>
      </c>
      <c r="AV5" s="461"/>
      <c r="AW5" s="461">
        <v>157.01</v>
      </c>
      <c r="AX5" s="461">
        <v>2134.92</v>
      </c>
      <c r="AY5" s="467">
        <v>2966.83</v>
      </c>
      <c r="AZ5" s="460">
        <v>1017635.76</v>
      </c>
      <c r="BA5" s="461"/>
      <c r="BB5" s="461">
        <v>280287.57</v>
      </c>
      <c r="BC5" s="461">
        <v>3064337.32</v>
      </c>
      <c r="BD5" s="462">
        <v>4362260.66</v>
      </c>
      <c r="BE5" s="457">
        <v>993258.46</v>
      </c>
      <c r="BF5" s="458">
        <v>46308.74</v>
      </c>
      <c r="BG5" s="458">
        <v>195947.35</v>
      </c>
      <c r="BH5" s="458">
        <v>3673824.74</v>
      </c>
      <c r="BI5" s="459">
        <v>4909339.3</v>
      </c>
      <c r="BJ5" s="460">
        <v>194418.42</v>
      </c>
      <c r="BK5" s="461">
        <v>747.9</v>
      </c>
      <c r="BL5" s="461">
        <v>86375.26</v>
      </c>
      <c r="BM5" s="461">
        <v>368546.23</v>
      </c>
      <c r="BN5" s="462">
        <v>650087.81</v>
      </c>
      <c r="BO5" s="460">
        <v>229230.2</v>
      </c>
      <c r="BP5" s="461"/>
      <c r="BQ5" s="461">
        <v>2647.9</v>
      </c>
      <c r="BR5" s="461">
        <v>50448.58</v>
      </c>
      <c r="BS5" s="459">
        <v>282326.67</v>
      </c>
      <c r="BT5" s="460">
        <v>2145.12</v>
      </c>
      <c r="BU5" s="461">
        <v>45.22</v>
      </c>
      <c r="BV5" s="461">
        <v>142.3</v>
      </c>
      <c r="BW5" s="461">
        <v>17525.03</v>
      </c>
      <c r="BX5" s="462">
        <v>19857.67</v>
      </c>
      <c r="BY5" s="468">
        <v>10983</v>
      </c>
      <c r="BZ5" s="461"/>
      <c r="CA5" s="461">
        <v>720</v>
      </c>
      <c r="CB5" s="461">
        <v>36874</v>
      </c>
      <c r="CC5" s="462">
        <v>48576</v>
      </c>
      <c r="CD5" s="468">
        <v>701360.39</v>
      </c>
      <c r="CE5" s="461"/>
      <c r="CF5" s="461"/>
      <c r="CG5" s="461">
        <v>990982.65</v>
      </c>
      <c r="CH5" s="462">
        <v>780922.04</v>
      </c>
      <c r="CI5" s="457">
        <v>3422.31</v>
      </c>
      <c r="CJ5" s="458"/>
      <c r="CK5" s="458">
        <v>106.73</v>
      </c>
      <c r="CL5" s="458">
        <v>12213.57</v>
      </c>
      <c r="CM5" s="459">
        <v>15742.61</v>
      </c>
      <c r="CN5" s="468"/>
      <c r="CO5" s="461"/>
      <c r="CP5" s="461"/>
      <c r="CQ5" s="461"/>
      <c r="CR5" s="462"/>
      <c r="CS5" s="469">
        <v>1363038.05</v>
      </c>
      <c r="CT5" s="470">
        <v>36565.65</v>
      </c>
      <c r="CU5" s="470">
        <v>211023.37</v>
      </c>
      <c r="CV5" s="470">
        <v>3378413.68</v>
      </c>
      <c r="CW5" s="471">
        <v>4989040.74</v>
      </c>
      <c r="CX5" s="460">
        <v>1344.91</v>
      </c>
      <c r="CY5" s="461">
        <v>0</v>
      </c>
      <c r="CZ5" s="461">
        <v>29.97</v>
      </c>
      <c r="DA5" s="461">
        <v>2576.03</v>
      </c>
      <c r="DB5" s="462">
        <v>3950.92</v>
      </c>
      <c r="DC5" s="460">
        <v>1612.54</v>
      </c>
      <c r="DD5" s="461"/>
      <c r="DE5" s="461" t="s">
        <v>602</v>
      </c>
      <c r="DF5" s="461">
        <v>3492.76</v>
      </c>
      <c r="DG5" s="462">
        <v>5358.5</v>
      </c>
      <c r="DH5" s="460">
        <v>424401.64</v>
      </c>
      <c r="DI5" s="461"/>
      <c r="DJ5" s="461">
        <v>66376.64</v>
      </c>
      <c r="DK5" s="461">
        <v>1566430.67</v>
      </c>
      <c r="DL5" s="462">
        <v>2057208.95</v>
      </c>
      <c r="DM5" s="460"/>
      <c r="DN5" s="461"/>
      <c r="DO5" s="461"/>
      <c r="DP5" s="461"/>
      <c r="DQ5" s="462"/>
    </row>
    <row r="6" spans="1:121" ht="14.25">
      <c r="A6" s="484" t="s">
        <v>213</v>
      </c>
      <c r="B6" s="265"/>
      <c r="C6" s="77"/>
      <c r="D6" s="77"/>
      <c r="E6" s="77"/>
      <c r="F6" s="78"/>
      <c r="G6" s="2"/>
      <c r="H6" s="3"/>
      <c r="I6" s="3"/>
      <c r="J6" s="3"/>
      <c r="K6" s="1"/>
      <c r="L6" s="24"/>
      <c r="M6" s="3"/>
      <c r="N6" s="3"/>
      <c r="O6" s="3"/>
      <c r="P6" s="4"/>
      <c r="Q6" s="2"/>
      <c r="R6" s="3"/>
      <c r="S6" s="3"/>
      <c r="T6" s="3"/>
      <c r="U6" s="4"/>
      <c r="V6" s="2">
        <v>6008</v>
      </c>
      <c r="W6" s="3"/>
      <c r="X6" s="3"/>
      <c r="Y6" s="3"/>
      <c r="Z6" s="4">
        <v>6008</v>
      </c>
      <c r="AA6" s="2">
        <v>500</v>
      </c>
      <c r="AB6" s="461"/>
      <c r="AC6" s="3"/>
      <c r="AD6" s="3"/>
      <c r="AE6" s="4">
        <v>500</v>
      </c>
      <c r="AF6" s="522">
        <v>16015.09</v>
      </c>
      <c r="AG6" s="332"/>
      <c r="AH6" s="332"/>
      <c r="AI6" s="332"/>
      <c r="AJ6" s="573">
        <v>16015.09</v>
      </c>
      <c r="AK6" s="24">
        <v>1186</v>
      </c>
      <c r="AL6" s="3"/>
      <c r="AM6" s="3"/>
      <c r="AN6" s="3"/>
      <c r="AO6" s="4">
        <v>1186</v>
      </c>
      <c r="AP6" s="2">
        <v>3500</v>
      </c>
      <c r="AQ6" s="3"/>
      <c r="AR6" s="3"/>
      <c r="AS6" s="3"/>
      <c r="AT6" s="248">
        <v>3500</v>
      </c>
      <c r="AU6" s="2">
        <v>31.95</v>
      </c>
      <c r="AV6" s="3"/>
      <c r="AW6" s="3"/>
      <c r="AX6" s="3"/>
      <c r="AY6" s="248">
        <v>31.95</v>
      </c>
      <c r="AZ6" s="2"/>
      <c r="BA6" s="1644"/>
      <c r="BB6" s="3"/>
      <c r="BC6" s="3"/>
      <c r="BD6" s="4"/>
      <c r="BE6" s="2"/>
      <c r="BF6" s="3"/>
      <c r="BG6" s="3"/>
      <c r="BH6" s="3"/>
      <c r="BI6" s="4"/>
      <c r="BJ6" s="249"/>
      <c r="BK6" s="5"/>
      <c r="BL6" s="5"/>
      <c r="BM6" s="5"/>
      <c r="BN6" s="1"/>
      <c r="BO6" s="2">
        <v>8048.34</v>
      </c>
      <c r="BP6" s="3"/>
      <c r="BQ6" s="3"/>
      <c r="BR6" s="3">
        <v>5500</v>
      </c>
      <c r="BS6" s="4">
        <v>13548.34</v>
      </c>
      <c r="BT6" s="2">
        <v>25</v>
      </c>
      <c r="BU6" s="3"/>
      <c r="BV6" s="3"/>
      <c r="BW6" s="3"/>
      <c r="BX6" s="4">
        <v>25</v>
      </c>
      <c r="BY6" s="24"/>
      <c r="BZ6" s="3"/>
      <c r="CA6" s="3"/>
      <c r="CB6" s="3"/>
      <c r="CC6" s="4"/>
      <c r="CD6" s="24"/>
      <c r="CE6" s="3"/>
      <c r="CF6" s="3"/>
      <c r="CG6" s="3"/>
      <c r="CH6" s="4"/>
      <c r="CI6" s="2">
        <v>79.51</v>
      </c>
      <c r="CJ6" s="3"/>
      <c r="CK6" s="3"/>
      <c r="CL6" s="3"/>
      <c r="CM6" s="4">
        <v>79.51</v>
      </c>
      <c r="CN6" s="29"/>
      <c r="CO6" s="3"/>
      <c r="CP6" s="3"/>
      <c r="CQ6" s="3"/>
      <c r="CR6" s="4"/>
      <c r="CS6" s="24"/>
      <c r="CT6" s="3"/>
      <c r="CU6" s="434"/>
      <c r="CV6" s="434"/>
      <c r="CW6" s="435"/>
      <c r="CX6" s="436"/>
      <c r="CY6" s="250"/>
      <c r="CZ6" s="250"/>
      <c r="DA6" s="250"/>
      <c r="DB6" s="323"/>
      <c r="DC6" s="437">
        <v>83.2</v>
      </c>
      <c r="DD6" s="251"/>
      <c r="DE6" s="251"/>
      <c r="DF6" s="251"/>
      <c r="DG6" s="326">
        <v>83.2</v>
      </c>
      <c r="DH6" s="2"/>
      <c r="DI6" s="3"/>
      <c r="DJ6" s="3"/>
      <c r="DK6" s="3"/>
      <c r="DL6" s="1"/>
      <c r="DM6" s="437"/>
      <c r="DN6" s="251"/>
      <c r="DO6" s="251"/>
      <c r="DP6" s="251"/>
      <c r="DQ6" s="326"/>
    </row>
    <row r="7" spans="1:121" ht="14.25">
      <c r="A7" s="484" t="s">
        <v>249</v>
      </c>
      <c r="B7" s="265"/>
      <c r="C7" s="77"/>
      <c r="D7" s="77"/>
      <c r="E7" s="77"/>
      <c r="F7" s="78"/>
      <c r="G7" s="2"/>
      <c r="H7" s="3"/>
      <c r="I7" s="3"/>
      <c r="J7" s="3"/>
      <c r="K7" s="1"/>
      <c r="L7" s="24"/>
      <c r="M7" s="3"/>
      <c r="N7" s="3"/>
      <c r="O7" s="3"/>
      <c r="P7" s="4"/>
      <c r="Q7" s="2"/>
      <c r="R7" s="3"/>
      <c r="S7" s="3"/>
      <c r="T7" s="3"/>
      <c r="U7" s="4"/>
      <c r="V7" s="2">
        <v>3.2</v>
      </c>
      <c r="W7" s="3"/>
      <c r="X7" s="3"/>
      <c r="Y7" s="3"/>
      <c r="Z7" s="4">
        <v>1.1</v>
      </c>
      <c r="AA7" s="438">
        <v>0.22</v>
      </c>
      <c r="AB7" s="461"/>
      <c r="AC7" s="439"/>
      <c r="AD7" s="3"/>
      <c r="AE7" s="4">
        <v>0.1</v>
      </c>
      <c r="AF7" s="438">
        <v>0.1289</v>
      </c>
      <c r="AG7" s="439"/>
      <c r="AH7" s="439"/>
      <c r="AI7" s="439"/>
      <c r="AJ7" s="440">
        <v>0.05</v>
      </c>
      <c r="AK7" s="24">
        <v>2.98</v>
      </c>
      <c r="AL7" s="3"/>
      <c r="AM7" s="3"/>
      <c r="AN7" s="3"/>
      <c r="AO7" s="4">
        <v>0.55</v>
      </c>
      <c r="AP7" s="2">
        <v>1.19</v>
      </c>
      <c r="AQ7" s="3"/>
      <c r="AR7" s="3"/>
      <c r="AS7" s="3"/>
      <c r="AT7" s="248">
        <v>0.29</v>
      </c>
      <c r="AU7" s="2">
        <v>4.73</v>
      </c>
      <c r="AV7" s="3"/>
      <c r="AW7" s="3"/>
      <c r="AX7" s="3"/>
      <c r="AY7" s="653">
        <v>0.0108</v>
      </c>
      <c r="AZ7" s="438">
        <v>0</v>
      </c>
      <c r="BA7" s="439">
        <v>0</v>
      </c>
      <c r="BB7" s="439">
        <v>0</v>
      </c>
      <c r="BC7" s="439">
        <v>0</v>
      </c>
      <c r="BD7" s="444">
        <v>0</v>
      </c>
      <c r="BE7" s="2"/>
      <c r="BF7" s="3"/>
      <c r="BG7" s="3"/>
      <c r="BH7" s="3"/>
      <c r="BI7" s="4"/>
      <c r="BJ7" s="441"/>
      <c r="BK7" s="442"/>
      <c r="BL7" s="442"/>
      <c r="BM7" s="442"/>
      <c r="BN7" s="443"/>
      <c r="BO7" s="2">
        <v>351.1</v>
      </c>
      <c r="BP7" s="3"/>
      <c r="BQ7" s="3"/>
      <c r="BR7" s="3">
        <v>1090.22</v>
      </c>
      <c r="BS7" s="4">
        <v>479.88</v>
      </c>
      <c r="BT7" s="2">
        <v>1.16</v>
      </c>
      <c r="BU7" s="3"/>
      <c r="BV7" s="3"/>
      <c r="BW7" s="3"/>
      <c r="BX7" s="4">
        <v>0.13</v>
      </c>
      <c r="BY7" s="24"/>
      <c r="BZ7" s="3"/>
      <c r="CA7" s="3"/>
      <c r="CB7" s="3"/>
      <c r="CC7" s="4"/>
      <c r="CD7" s="24"/>
      <c r="CE7" s="3"/>
      <c r="CF7" s="3"/>
      <c r="CG7" s="3"/>
      <c r="CH7" s="4"/>
      <c r="CI7" s="2">
        <v>2.32</v>
      </c>
      <c r="CJ7" s="3"/>
      <c r="CK7" s="3"/>
      <c r="CL7" s="3"/>
      <c r="CM7" s="4">
        <v>0.51</v>
      </c>
      <c r="CN7" s="29"/>
      <c r="CO7" s="3"/>
      <c r="CP7" s="3"/>
      <c r="CQ7" s="3"/>
      <c r="CR7" s="4"/>
      <c r="CS7" s="24"/>
      <c r="CT7" s="3"/>
      <c r="CU7" s="434"/>
      <c r="CV7" s="434"/>
      <c r="CW7" s="435"/>
      <c r="CX7" s="436"/>
      <c r="CY7" s="250"/>
      <c r="CZ7" s="250"/>
      <c r="DA7" s="250"/>
      <c r="DB7" s="323"/>
      <c r="DC7" s="437">
        <v>5.16</v>
      </c>
      <c r="DD7" s="251"/>
      <c r="DE7" s="251"/>
      <c r="DF7" s="251"/>
      <c r="DG7" s="326">
        <v>1.55</v>
      </c>
      <c r="DH7" s="2"/>
      <c r="DI7" s="3"/>
      <c r="DJ7" s="3"/>
      <c r="DK7" s="3"/>
      <c r="DL7" s="1"/>
      <c r="DM7" s="437"/>
      <c r="DN7" s="251"/>
      <c r="DO7" s="251"/>
      <c r="DP7" s="251"/>
      <c r="DQ7" s="326"/>
    </row>
    <row r="8" spans="1:121" ht="14.25">
      <c r="A8" s="484" t="s">
        <v>214</v>
      </c>
      <c r="B8" s="265"/>
      <c r="C8" s="77"/>
      <c r="D8" s="77"/>
      <c r="E8" s="77"/>
      <c r="F8" s="78"/>
      <c r="G8" s="2"/>
      <c r="H8" s="3"/>
      <c r="I8" s="3"/>
      <c r="J8" s="3"/>
      <c r="K8" s="1"/>
      <c r="L8" s="24"/>
      <c r="M8" s="3"/>
      <c r="N8" s="3"/>
      <c r="O8" s="3"/>
      <c r="P8" s="4"/>
      <c r="Q8" s="2"/>
      <c r="R8" s="3"/>
      <c r="S8" s="3"/>
      <c r="T8" s="3"/>
      <c r="U8" s="4"/>
      <c r="V8" s="2">
        <v>3000</v>
      </c>
      <c r="W8" s="3"/>
      <c r="X8" s="3"/>
      <c r="Y8" s="3"/>
      <c r="Z8" s="4">
        <v>3000</v>
      </c>
      <c r="AA8" s="2">
        <v>500</v>
      </c>
      <c r="AB8" s="461"/>
      <c r="AC8" s="3"/>
      <c r="AD8" s="3"/>
      <c r="AE8" s="4">
        <v>500</v>
      </c>
      <c r="AF8" s="2">
        <v>10767.78</v>
      </c>
      <c r="AG8" s="3"/>
      <c r="AH8" s="3"/>
      <c r="AI8" s="3"/>
      <c r="AJ8" s="1">
        <v>10767.78</v>
      </c>
      <c r="AK8" s="24">
        <v>889</v>
      </c>
      <c r="AL8" s="3"/>
      <c r="AM8" s="3"/>
      <c r="AN8" s="3"/>
      <c r="AO8" s="4">
        <v>889</v>
      </c>
      <c r="AP8" s="2">
        <v>3500</v>
      </c>
      <c r="AQ8" s="3"/>
      <c r="AR8" s="3"/>
      <c r="AS8" s="3"/>
      <c r="AT8" s="248">
        <v>3500</v>
      </c>
      <c r="AU8" s="2">
        <v>13</v>
      </c>
      <c r="AV8" s="3"/>
      <c r="AW8" s="3"/>
      <c r="AX8" s="3"/>
      <c r="AY8" s="248">
        <v>13</v>
      </c>
      <c r="AZ8" s="2"/>
      <c r="BA8" s="439"/>
      <c r="BB8" s="3"/>
      <c r="BC8" s="3"/>
      <c r="BD8" s="4"/>
      <c r="BE8" s="2"/>
      <c r="BF8" s="3"/>
      <c r="BG8" s="3"/>
      <c r="BH8" s="3"/>
      <c r="BI8" s="4"/>
      <c r="BJ8" s="249"/>
      <c r="BK8" s="5"/>
      <c r="BL8" s="5"/>
      <c r="BM8" s="5"/>
      <c r="BN8" s="1"/>
      <c r="BO8" s="2">
        <v>8048.34</v>
      </c>
      <c r="BP8" s="3"/>
      <c r="BQ8" s="3"/>
      <c r="BR8" s="3">
        <v>5500</v>
      </c>
      <c r="BS8" s="4">
        <v>13548.34</v>
      </c>
      <c r="BT8" s="2">
        <v>18.75</v>
      </c>
      <c r="BU8" s="3"/>
      <c r="BV8" s="3"/>
      <c r="BW8" s="3"/>
      <c r="BX8" s="4">
        <v>18.75</v>
      </c>
      <c r="BY8" s="24"/>
      <c r="BZ8" s="3"/>
      <c r="CA8" s="3"/>
      <c r="CB8" s="3"/>
      <c r="CC8" s="4"/>
      <c r="CD8" s="24"/>
      <c r="CE8" s="3"/>
      <c r="CF8" s="3"/>
      <c r="CG8" s="3"/>
      <c r="CH8" s="4"/>
      <c r="CI8" s="2">
        <v>59.63</v>
      </c>
      <c r="CJ8" s="3"/>
      <c r="CK8" s="3"/>
      <c r="CL8" s="3"/>
      <c r="CM8" s="4">
        <v>59.63</v>
      </c>
      <c r="CN8" s="29"/>
      <c r="CO8" s="3"/>
      <c r="CP8" s="3"/>
      <c r="CQ8" s="3"/>
      <c r="CR8" s="4"/>
      <c r="CS8" s="24"/>
      <c r="CT8" s="3"/>
      <c r="CU8" s="434"/>
      <c r="CV8" s="434"/>
      <c r="CW8" s="435"/>
      <c r="CX8" s="436"/>
      <c r="CY8" s="250"/>
      <c r="CZ8" s="250"/>
      <c r="DA8" s="250"/>
      <c r="DB8" s="323"/>
      <c r="DC8" s="437">
        <v>54.8</v>
      </c>
      <c r="DD8" s="251"/>
      <c r="DE8" s="251"/>
      <c r="DF8" s="251"/>
      <c r="DG8" s="326">
        <v>54.8</v>
      </c>
      <c r="DH8" s="2"/>
      <c r="DI8" s="3"/>
      <c r="DJ8" s="3"/>
      <c r="DK8" s="3"/>
      <c r="DL8" s="1"/>
      <c r="DM8" s="437"/>
      <c r="DN8" s="251"/>
      <c r="DO8" s="251"/>
      <c r="DP8" s="251"/>
      <c r="DQ8" s="326"/>
    </row>
    <row r="9" spans="1:121" ht="14.25">
      <c r="A9" s="484" t="s">
        <v>250</v>
      </c>
      <c r="B9" s="265"/>
      <c r="C9" s="77"/>
      <c r="D9" s="77"/>
      <c r="E9" s="77"/>
      <c r="F9" s="78"/>
      <c r="G9" s="2"/>
      <c r="H9" s="3"/>
      <c r="I9" s="3"/>
      <c r="J9" s="3"/>
      <c r="K9" s="1"/>
      <c r="L9" s="24"/>
      <c r="M9" s="3"/>
      <c r="N9" s="3"/>
      <c r="O9" s="3"/>
      <c r="P9" s="4"/>
      <c r="Q9" s="2"/>
      <c r="R9" s="3"/>
      <c r="S9" s="3"/>
      <c r="T9" s="3"/>
      <c r="U9" s="4"/>
      <c r="V9" s="2">
        <v>50</v>
      </c>
      <c r="W9" s="3"/>
      <c r="X9" s="3"/>
      <c r="Y9" s="3"/>
      <c r="Z9" s="4">
        <v>50</v>
      </c>
      <c r="AA9" s="438">
        <v>1</v>
      </c>
      <c r="AB9" s="461"/>
      <c r="AC9" s="439"/>
      <c r="AD9" s="3"/>
      <c r="AE9" s="4">
        <v>100</v>
      </c>
      <c r="AF9" s="2">
        <v>67</v>
      </c>
      <c r="AG9" s="3"/>
      <c r="AH9" s="3"/>
      <c r="AI9" s="3"/>
      <c r="AJ9" s="1">
        <v>67</v>
      </c>
      <c r="AK9" s="24">
        <v>75</v>
      </c>
      <c r="AL9" s="3"/>
      <c r="AM9" s="3"/>
      <c r="AN9" s="3"/>
      <c r="AO9" s="4">
        <v>75</v>
      </c>
      <c r="AP9" s="2">
        <v>100</v>
      </c>
      <c r="AQ9" s="3"/>
      <c r="AR9" s="3"/>
      <c r="AS9" s="3"/>
      <c r="AT9" s="248">
        <v>100</v>
      </c>
      <c r="AU9" s="2">
        <v>40.69</v>
      </c>
      <c r="AV9" s="3"/>
      <c r="AW9" s="3"/>
      <c r="AX9" s="3"/>
      <c r="AY9" s="653">
        <v>0.4069</v>
      </c>
      <c r="AZ9" s="438">
        <v>0</v>
      </c>
      <c r="BA9" s="439">
        <v>0</v>
      </c>
      <c r="BB9" s="439">
        <v>0</v>
      </c>
      <c r="BC9" s="439">
        <v>0</v>
      </c>
      <c r="BD9" s="444">
        <v>0</v>
      </c>
      <c r="BE9" s="2"/>
      <c r="BF9" s="3"/>
      <c r="BG9" s="3"/>
      <c r="BH9" s="3"/>
      <c r="BI9" s="4"/>
      <c r="BJ9" s="249"/>
      <c r="BK9" s="5"/>
      <c r="BL9" s="5"/>
      <c r="BM9" s="5"/>
      <c r="BN9" s="1"/>
      <c r="BO9" s="2">
        <v>10000</v>
      </c>
      <c r="BP9" s="3"/>
      <c r="BQ9" s="3"/>
      <c r="BR9" s="3">
        <v>10000</v>
      </c>
      <c r="BS9" s="4">
        <v>10000</v>
      </c>
      <c r="BT9" s="2">
        <v>75</v>
      </c>
      <c r="BU9" s="3"/>
      <c r="BV9" s="3"/>
      <c r="BW9" s="3"/>
      <c r="BX9" s="4"/>
      <c r="BY9" s="24"/>
      <c r="BZ9" s="3"/>
      <c r="CA9" s="3"/>
      <c r="CB9" s="3"/>
      <c r="CC9" s="4"/>
      <c r="CD9" s="24"/>
      <c r="CE9" s="3"/>
      <c r="CF9" s="3"/>
      <c r="CG9" s="3"/>
      <c r="CH9" s="4"/>
      <c r="CI9" s="2">
        <v>75</v>
      </c>
      <c r="CJ9" s="3"/>
      <c r="CK9" s="3"/>
      <c r="CL9" s="3"/>
      <c r="CM9" s="4">
        <v>75</v>
      </c>
      <c r="CN9" s="29"/>
      <c r="CO9" s="3"/>
      <c r="CP9" s="3"/>
      <c r="CQ9" s="3"/>
      <c r="CR9" s="4"/>
      <c r="CS9" s="24"/>
      <c r="CT9" s="3"/>
      <c r="CU9" s="434"/>
      <c r="CV9" s="434"/>
      <c r="CW9" s="435"/>
      <c r="CX9" s="436"/>
      <c r="CY9" s="250"/>
      <c r="CZ9" s="250"/>
      <c r="DA9" s="250"/>
      <c r="DB9" s="323"/>
      <c r="DC9" s="437">
        <v>65.87</v>
      </c>
      <c r="DD9" s="251"/>
      <c r="DE9" s="251"/>
      <c r="DF9" s="251"/>
      <c r="DG9" s="326">
        <v>65.87</v>
      </c>
      <c r="DH9" s="2"/>
      <c r="DI9" s="3"/>
      <c r="DJ9" s="3"/>
      <c r="DK9" s="3"/>
      <c r="DL9" s="1"/>
      <c r="DM9" s="437"/>
      <c r="DN9" s="251"/>
      <c r="DO9" s="251"/>
      <c r="DP9" s="251"/>
      <c r="DQ9" s="326"/>
    </row>
    <row r="10" spans="1:121" ht="14.25">
      <c r="A10" s="484" t="s">
        <v>215</v>
      </c>
      <c r="B10" s="103"/>
      <c r="C10" s="46"/>
      <c r="D10" s="46"/>
      <c r="E10" s="46"/>
      <c r="F10" s="93"/>
      <c r="G10" s="7"/>
      <c r="H10" s="8"/>
      <c r="I10" s="8"/>
      <c r="J10" s="8"/>
      <c r="K10" s="1"/>
      <c r="L10" s="39"/>
      <c r="M10" s="8"/>
      <c r="N10" s="8"/>
      <c r="O10" s="8"/>
      <c r="P10" s="9"/>
      <c r="Q10" s="7"/>
      <c r="R10" s="8"/>
      <c r="S10" s="8"/>
      <c r="T10" s="8"/>
      <c r="U10" s="9"/>
      <c r="V10" s="7"/>
      <c r="W10" s="8"/>
      <c r="X10" s="8"/>
      <c r="Y10" s="8"/>
      <c r="Z10" s="9"/>
      <c r="AA10" s="7"/>
      <c r="AB10" s="461"/>
      <c r="AC10" s="8"/>
      <c r="AD10" s="8"/>
      <c r="AE10" s="9"/>
      <c r="AF10" s="7"/>
      <c r="AG10" s="8"/>
      <c r="AH10" s="8"/>
      <c r="AI10" s="8"/>
      <c r="AJ10" s="1"/>
      <c r="AK10" s="39"/>
      <c r="AL10" s="8"/>
      <c r="AM10" s="8"/>
      <c r="AN10" s="8"/>
      <c r="AO10" s="9"/>
      <c r="AP10" s="7"/>
      <c r="AQ10" s="8"/>
      <c r="AR10" s="8"/>
      <c r="AS10" s="8"/>
      <c r="AT10" s="106"/>
      <c r="AU10" s="7"/>
      <c r="AV10" s="8"/>
      <c r="AW10" s="8"/>
      <c r="AX10" s="8"/>
      <c r="AY10" s="106"/>
      <c r="AZ10" s="7"/>
      <c r="BA10" s="654"/>
      <c r="BB10" s="8"/>
      <c r="BC10" s="8"/>
      <c r="BD10" s="9"/>
      <c r="BE10" s="7"/>
      <c r="BF10" s="8"/>
      <c r="BG10" s="8"/>
      <c r="BH10" s="8"/>
      <c r="BI10" s="9"/>
      <c r="BJ10" s="249"/>
      <c r="BK10" s="5"/>
      <c r="BL10" s="5"/>
      <c r="BM10" s="5"/>
      <c r="BN10" s="1"/>
      <c r="BO10" s="7"/>
      <c r="BP10" s="8"/>
      <c r="BQ10" s="8"/>
      <c r="BR10" s="8">
        <v>0</v>
      </c>
      <c r="BS10" s="9"/>
      <c r="BT10" s="1629"/>
      <c r="BU10" s="111">
        <v>0.18</v>
      </c>
      <c r="BV10" s="111"/>
      <c r="BW10" s="111"/>
      <c r="BX10" s="1630">
        <v>0.18</v>
      </c>
      <c r="BY10" s="39"/>
      <c r="BZ10" s="8"/>
      <c r="CA10" s="8"/>
      <c r="CB10" s="8"/>
      <c r="CC10" s="9"/>
      <c r="CD10" s="39"/>
      <c r="CE10" s="8"/>
      <c r="CF10" s="8"/>
      <c r="CG10" s="8"/>
      <c r="CH10" s="9"/>
      <c r="CI10" s="7"/>
      <c r="CJ10" s="8"/>
      <c r="CK10" s="8"/>
      <c r="CL10" s="8">
        <v>243.7</v>
      </c>
      <c r="CM10" s="9">
        <v>243.7</v>
      </c>
      <c r="CN10" s="29"/>
      <c r="CO10" s="3"/>
      <c r="CP10" s="3"/>
      <c r="CQ10" s="3"/>
      <c r="CR10" s="4"/>
      <c r="CS10" s="24"/>
      <c r="CT10" s="434">
        <v>117.5</v>
      </c>
      <c r="CU10" s="434"/>
      <c r="CV10" s="434"/>
      <c r="CW10" s="435">
        <v>117.5</v>
      </c>
      <c r="CX10" s="436"/>
      <c r="CY10" s="250"/>
      <c r="CZ10" s="250"/>
      <c r="DA10" s="250"/>
      <c r="DB10" s="323"/>
      <c r="DC10" s="437"/>
      <c r="DD10" s="251"/>
      <c r="DE10" s="251"/>
      <c r="DF10" s="251"/>
      <c r="DG10" s="326"/>
      <c r="DH10" s="7"/>
      <c r="DI10" s="8"/>
      <c r="DJ10" s="8"/>
      <c r="DK10" s="8"/>
      <c r="DL10" s="1"/>
      <c r="DM10" s="7"/>
      <c r="DN10" s="8"/>
      <c r="DO10" s="8"/>
      <c r="DP10" s="8"/>
      <c r="DQ10" s="9"/>
    </row>
    <row r="11" spans="1:121" s="105" customFormat="1" ht="13.5">
      <c r="A11" s="484" t="s">
        <v>251</v>
      </c>
      <c r="B11" s="103">
        <f>B5</f>
        <v>5044.598632</v>
      </c>
      <c r="C11" s="103">
        <f>C5</f>
        <v>23.820821</v>
      </c>
      <c r="D11" s="103">
        <f>D5</f>
        <v>0</v>
      </c>
      <c r="E11" s="103">
        <f>E5</f>
        <v>8668.355645</v>
      </c>
      <c r="F11" s="103">
        <f>F5</f>
        <v>13736.775098</v>
      </c>
      <c r="G11" s="7"/>
      <c r="H11" s="8"/>
      <c r="I11" s="8"/>
      <c r="J11" s="8"/>
      <c r="K11" s="1">
        <v>0</v>
      </c>
      <c r="L11" s="39"/>
      <c r="M11" s="7"/>
      <c r="N11" s="7"/>
      <c r="O11" s="7"/>
      <c r="P11" s="7"/>
      <c r="Q11" s="7"/>
      <c r="R11" s="7"/>
      <c r="S11" s="7"/>
      <c r="T11" s="7"/>
      <c r="U11" s="7"/>
      <c r="V11" s="7">
        <v>183012</v>
      </c>
      <c r="W11" s="7"/>
      <c r="X11" s="7">
        <v>6721</v>
      </c>
      <c r="Y11" s="7">
        <f>Y5</f>
        <v>363032</v>
      </c>
      <c r="Z11" s="7">
        <v>552765</v>
      </c>
      <c r="AA11" s="7">
        <v>229601</v>
      </c>
      <c r="AB11" s="461"/>
      <c r="AC11" s="7"/>
      <c r="AD11" s="7">
        <v>293265</v>
      </c>
      <c r="AE11" s="903">
        <v>522866</v>
      </c>
      <c r="AF11" s="7">
        <f>AF5</f>
        <v>124284.27</v>
      </c>
      <c r="AG11" s="8">
        <f>AG5</f>
        <v>0</v>
      </c>
      <c r="AH11" s="8">
        <f>AH5</f>
        <v>65</v>
      </c>
      <c r="AI11" s="8">
        <f>AI5</f>
        <v>196210.39</v>
      </c>
      <c r="AJ11" s="9">
        <v>309797.87</v>
      </c>
      <c r="AK11" s="1645">
        <v>38931</v>
      </c>
      <c r="AL11" s="8"/>
      <c r="AM11" s="8">
        <v>30105</v>
      </c>
      <c r="AN11" s="8">
        <v>146224</v>
      </c>
      <c r="AO11" s="39">
        <v>215260</v>
      </c>
      <c r="AP11" s="1643">
        <f>AP5</f>
        <v>293910</v>
      </c>
      <c r="AQ11" s="38">
        <f>AQ5</f>
        <v>45689</v>
      </c>
      <c r="AR11" s="8">
        <f>AR5</f>
        <v>781745</v>
      </c>
      <c r="AS11" s="8">
        <f>AS5</f>
        <v>66137</v>
      </c>
      <c r="AT11" s="40">
        <v>1183982</v>
      </c>
      <c r="AU11" s="1643">
        <v>661.9</v>
      </c>
      <c r="AV11" s="8"/>
      <c r="AW11" s="8">
        <v>157.01</v>
      </c>
      <c r="AX11" s="8">
        <v>2134.92</v>
      </c>
      <c r="AY11" s="1645">
        <v>2953.83</v>
      </c>
      <c r="AZ11" s="7">
        <v>1017635.76</v>
      </c>
      <c r="BA11" s="654"/>
      <c r="BB11" s="8">
        <v>280287.57</v>
      </c>
      <c r="BC11" s="461">
        <v>3064337.32</v>
      </c>
      <c r="BD11" s="9">
        <v>4362260.66</v>
      </c>
      <c r="BE11" s="7">
        <f aca="true" t="shared" si="0" ref="BE11:BN11">BE5</f>
        <v>993258.46</v>
      </c>
      <c r="BF11" s="7">
        <f t="shared" si="0"/>
        <v>46308.74</v>
      </c>
      <c r="BG11" s="7">
        <f t="shared" si="0"/>
        <v>195947.35</v>
      </c>
      <c r="BH11" s="7">
        <f t="shared" si="0"/>
        <v>3673824.74</v>
      </c>
      <c r="BI11" s="7">
        <f t="shared" si="0"/>
        <v>4909339.3</v>
      </c>
      <c r="BJ11" s="7">
        <f t="shared" si="0"/>
        <v>194418.42</v>
      </c>
      <c r="BK11" s="7">
        <f t="shared" si="0"/>
        <v>747.9</v>
      </c>
      <c r="BL11" s="7">
        <f t="shared" si="0"/>
        <v>86375.26</v>
      </c>
      <c r="BM11" s="7">
        <f t="shared" si="0"/>
        <v>368546.23</v>
      </c>
      <c r="BN11" s="7">
        <f t="shared" si="0"/>
        <v>650087.81</v>
      </c>
      <c r="BO11" s="7">
        <v>221181.86</v>
      </c>
      <c r="BP11" s="8"/>
      <c r="BQ11" s="8">
        <v>2647.9</v>
      </c>
      <c r="BR11" s="8">
        <v>44948.58</v>
      </c>
      <c r="BS11" s="9">
        <v>268778.34</v>
      </c>
      <c r="BT11" s="7">
        <v>2126.37</v>
      </c>
      <c r="BU11" s="39">
        <f>BU5</f>
        <v>45.22</v>
      </c>
      <c r="BV11" s="39">
        <f>BV5</f>
        <v>142.3</v>
      </c>
      <c r="BW11" s="39">
        <f>BW5</f>
        <v>17525.03</v>
      </c>
      <c r="BX11" s="9">
        <v>19838.92</v>
      </c>
      <c r="BY11" s="39">
        <f>BY5</f>
        <v>10983</v>
      </c>
      <c r="BZ11" s="8">
        <v>0</v>
      </c>
      <c r="CA11" s="8">
        <f aca="true" t="shared" si="1" ref="CA11:CM11">CA5</f>
        <v>720</v>
      </c>
      <c r="CB11" s="8">
        <f t="shared" si="1"/>
        <v>36874</v>
      </c>
      <c r="CC11" s="9">
        <f t="shared" si="1"/>
        <v>48576</v>
      </c>
      <c r="CD11" s="39">
        <f t="shared" si="1"/>
        <v>701360.39</v>
      </c>
      <c r="CE11" s="8">
        <f t="shared" si="1"/>
        <v>0</v>
      </c>
      <c r="CF11" s="8">
        <f t="shared" si="1"/>
        <v>0</v>
      </c>
      <c r="CG11" s="8">
        <f t="shared" si="1"/>
        <v>990982.65</v>
      </c>
      <c r="CH11" s="9">
        <f t="shared" si="1"/>
        <v>780922.04</v>
      </c>
      <c r="CI11" s="7">
        <f t="shared" si="1"/>
        <v>3422.31</v>
      </c>
      <c r="CJ11" s="7">
        <f t="shared" si="1"/>
        <v>0</v>
      </c>
      <c r="CK11" s="7">
        <f t="shared" si="1"/>
        <v>106.73</v>
      </c>
      <c r="CL11" s="7">
        <f t="shared" si="1"/>
        <v>12213.57</v>
      </c>
      <c r="CM11" s="903">
        <f t="shared" si="1"/>
        <v>15742.61</v>
      </c>
      <c r="CN11" s="463"/>
      <c r="CO11" s="8"/>
      <c r="CP11" s="8"/>
      <c r="CQ11" s="8"/>
      <c r="CR11" s="9"/>
      <c r="CS11" s="464">
        <f>CS5</f>
        <v>1363038.05</v>
      </c>
      <c r="CT11" s="464">
        <f>CT5</f>
        <v>36565.65</v>
      </c>
      <c r="CU11" s="464">
        <f>CU5</f>
        <v>211023.37</v>
      </c>
      <c r="CV11" s="465">
        <f>CV5</f>
        <v>3378413.68</v>
      </c>
      <c r="CW11" s="1631">
        <f>CW5</f>
        <v>4989040.74</v>
      </c>
      <c r="CX11" s="1633">
        <v>1344.91</v>
      </c>
      <c r="CY11" s="1635"/>
      <c r="CZ11" s="1635">
        <v>29.97</v>
      </c>
      <c r="DA11" s="1635">
        <v>2576.03</v>
      </c>
      <c r="DB11" s="1634">
        <v>3950.92</v>
      </c>
      <c r="DC11" s="108">
        <v>1557.74</v>
      </c>
      <c r="DD11" s="466"/>
      <c r="DE11" s="466" t="str">
        <f>DE5</f>
        <v>253,2</v>
      </c>
      <c r="DF11" s="466">
        <f>DF5</f>
        <v>3492.76</v>
      </c>
      <c r="DG11" s="1632">
        <v>5303.7</v>
      </c>
      <c r="DH11" s="7"/>
      <c r="DI11" s="8"/>
      <c r="DJ11" s="8"/>
      <c r="DK11" s="8"/>
      <c r="DL11" s="1"/>
      <c r="DM11" s="108"/>
      <c r="DN11" s="109"/>
      <c r="DO11" s="109"/>
      <c r="DP11" s="109"/>
      <c r="DQ11" s="110"/>
    </row>
    <row r="12" spans="1:121" ht="14.25">
      <c r="A12" s="484" t="s">
        <v>252</v>
      </c>
      <c r="B12" s="265"/>
      <c r="C12" s="77"/>
      <c r="D12" s="77"/>
      <c r="E12" s="77"/>
      <c r="F12" s="78"/>
      <c r="G12" s="2"/>
      <c r="H12" s="3"/>
      <c r="I12" s="3"/>
      <c r="J12" s="3"/>
      <c r="K12" s="1">
        <v>0</v>
      </c>
      <c r="L12" s="24"/>
      <c r="M12" s="3"/>
      <c r="N12" s="3"/>
      <c r="O12" s="3"/>
      <c r="P12" s="4"/>
      <c r="Q12" s="2">
        <f>Q5</f>
        <v>6152.67</v>
      </c>
      <c r="R12" s="2">
        <f>R5</f>
        <v>0</v>
      </c>
      <c r="S12" s="2">
        <f>S5</f>
        <v>2698.9</v>
      </c>
      <c r="T12" s="2">
        <f>T5</f>
        <v>20065.07</v>
      </c>
      <c r="U12" s="2">
        <f>U5</f>
        <v>28916.64</v>
      </c>
      <c r="V12" s="2">
        <v>3008</v>
      </c>
      <c r="W12" s="3"/>
      <c r="X12" s="3"/>
      <c r="Y12" s="3"/>
      <c r="Z12" s="4">
        <v>3008</v>
      </c>
      <c r="AA12" s="2"/>
      <c r="AB12" s="461"/>
      <c r="AC12" s="3"/>
      <c r="AD12" s="3"/>
      <c r="AE12" s="4"/>
      <c r="AF12" s="2">
        <v>5247.31</v>
      </c>
      <c r="AG12" s="3"/>
      <c r="AH12" s="3"/>
      <c r="AI12" s="3"/>
      <c r="AJ12" s="104">
        <v>5247.31</v>
      </c>
      <c r="AK12" s="24">
        <v>296</v>
      </c>
      <c r="AL12" s="3"/>
      <c r="AM12" s="3"/>
      <c r="AN12" s="3"/>
      <c r="AO12" s="4">
        <v>296</v>
      </c>
      <c r="AP12" s="2"/>
      <c r="AQ12" s="3"/>
      <c r="AR12" s="3"/>
      <c r="AS12" s="3"/>
      <c r="AT12" s="248"/>
      <c r="AU12" s="2">
        <v>18.95</v>
      </c>
      <c r="AV12" s="3"/>
      <c r="AW12" s="3"/>
      <c r="AX12" s="3"/>
      <c r="AY12" s="248">
        <v>18.95</v>
      </c>
      <c r="AZ12" s="2"/>
      <c r="BA12" s="439"/>
      <c r="BB12" s="3"/>
      <c r="BC12" s="3"/>
      <c r="BD12" s="4"/>
      <c r="BE12" s="2"/>
      <c r="BF12" s="3"/>
      <c r="BG12" s="3"/>
      <c r="BH12" s="3"/>
      <c r="BI12" s="4"/>
      <c r="BJ12" s="2"/>
      <c r="BK12" s="3"/>
      <c r="BL12" s="3"/>
      <c r="BM12" s="3"/>
      <c r="BN12" s="4"/>
      <c r="BO12" s="2"/>
      <c r="BP12" s="3"/>
      <c r="BQ12" s="3"/>
      <c r="BR12" s="3"/>
      <c r="BS12" s="4"/>
      <c r="BT12" s="2">
        <v>6.2</v>
      </c>
      <c r="BU12" s="3"/>
      <c r="BV12" s="3"/>
      <c r="BW12" s="3"/>
      <c r="BX12" s="4">
        <v>6.2</v>
      </c>
      <c r="BY12" s="24"/>
      <c r="BZ12" s="3"/>
      <c r="CA12" s="3"/>
      <c r="CB12" s="3"/>
      <c r="CC12" s="4"/>
      <c r="CD12" s="24"/>
      <c r="CE12" s="3"/>
      <c r="CF12" s="3"/>
      <c r="CG12" s="3"/>
      <c r="CH12" s="4"/>
      <c r="CI12" s="2">
        <v>19.88</v>
      </c>
      <c r="CJ12" s="3"/>
      <c r="CK12" s="3"/>
      <c r="CL12" s="3"/>
      <c r="CM12" s="4">
        <v>19.88</v>
      </c>
      <c r="CN12" s="29"/>
      <c r="CO12" s="3"/>
      <c r="CP12" s="3"/>
      <c r="CQ12" s="3"/>
      <c r="CR12" s="4"/>
      <c r="CS12" s="19"/>
      <c r="CT12" s="20"/>
      <c r="CU12" s="20"/>
      <c r="CV12" s="20"/>
      <c r="CW12" s="21"/>
      <c r="CX12" s="436"/>
      <c r="CY12" s="250"/>
      <c r="CZ12" s="250"/>
      <c r="DA12" s="250"/>
      <c r="DB12" s="323"/>
      <c r="DC12" s="437">
        <v>28.4</v>
      </c>
      <c r="DD12" s="251"/>
      <c r="DE12" s="251"/>
      <c r="DF12" s="251"/>
      <c r="DG12" s="326">
        <v>28.4</v>
      </c>
      <c r="DH12" s="2">
        <f>DH5</f>
        <v>424401.64</v>
      </c>
      <c r="DI12" s="3">
        <v>0</v>
      </c>
      <c r="DJ12" s="3">
        <f>DJ5</f>
        <v>66376.64</v>
      </c>
      <c r="DK12" s="3">
        <f>DK5</f>
        <v>1566430.67</v>
      </c>
      <c r="DL12" s="1">
        <f>DL5</f>
        <v>2057208.95</v>
      </c>
      <c r="DM12" s="437"/>
      <c r="DN12" s="251"/>
      <c r="DO12" s="251"/>
      <c r="DP12" s="251"/>
      <c r="DQ12" s="326"/>
    </row>
    <row r="13" spans="1:121" ht="14.25">
      <c r="A13" s="484" t="s">
        <v>253</v>
      </c>
      <c r="B13" s="265"/>
      <c r="C13" s="77"/>
      <c r="D13" s="77"/>
      <c r="E13" s="77"/>
      <c r="F13" s="78"/>
      <c r="G13" s="2"/>
      <c r="H13" s="3"/>
      <c r="I13" s="3"/>
      <c r="J13" s="3"/>
      <c r="K13" s="1">
        <v>0</v>
      </c>
      <c r="L13" s="24"/>
      <c r="M13" s="3"/>
      <c r="N13" s="3"/>
      <c r="O13" s="3"/>
      <c r="P13" s="4"/>
      <c r="Q13" s="2"/>
      <c r="R13" s="3"/>
      <c r="S13" s="3"/>
      <c r="T13" s="3"/>
      <c r="U13" s="4"/>
      <c r="V13" s="2">
        <v>1.64</v>
      </c>
      <c r="W13" s="3"/>
      <c r="X13" s="3"/>
      <c r="Y13" s="3"/>
      <c r="Z13" s="4">
        <v>1.64</v>
      </c>
      <c r="AA13" s="438">
        <v>0</v>
      </c>
      <c r="AB13" s="461"/>
      <c r="AC13" s="439"/>
      <c r="AD13" s="3"/>
      <c r="AE13" s="4">
        <v>0</v>
      </c>
      <c r="AF13" s="438">
        <v>0.0462</v>
      </c>
      <c r="AG13" s="439"/>
      <c r="AH13" s="439"/>
      <c r="AI13" s="439"/>
      <c r="AJ13" s="440">
        <v>0.0169</v>
      </c>
      <c r="AK13" s="24">
        <v>0.76</v>
      </c>
      <c r="AL13" s="3"/>
      <c r="AM13" s="3"/>
      <c r="AN13" s="3"/>
      <c r="AO13" s="4">
        <v>0.14</v>
      </c>
      <c r="AP13" s="2"/>
      <c r="AQ13" s="3"/>
      <c r="AR13" s="3"/>
      <c r="AS13" s="3"/>
      <c r="AT13" s="248"/>
      <c r="AU13" s="2">
        <v>2.86</v>
      </c>
      <c r="AV13" s="3"/>
      <c r="AW13" s="3"/>
      <c r="AX13" s="3"/>
      <c r="AY13" s="653">
        <v>0.64</v>
      </c>
      <c r="AZ13" s="438">
        <v>0</v>
      </c>
      <c r="BA13" s="439">
        <v>0</v>
      </c>
      <c r="BB13" s="439">
        <v>0</v>
      </c>
      <c r="BC13" s="439">
        <v>0</v>
      </c>
      <c r="BD13" s="444">
        <v>0</v>
      </c>
      <c r="BE13" s="2"/>
      <c r="BF13" s="3"/>
      <c r="BG13" s="3"/>
      <c r="BH13" s="3"/>
      <c r="BI13" s="4"/>
      <c r="BJ13" s="438"/>
      <c r="BK13" s="439"/>
      <c r="BL13" s="439"/>
      <c r="BM13" s="439"/>
      <c r="BN13" s="444"/>
      <c r="BO13" s="2"/>
      <c r="BP13" s="3"/>
      <c r="BQ13" s="3"/>
      <c r="BR13" s="3"/>
      <c r="BS13" s="4"/>
      <c r="BT13" s="2">
        <v>0.29</v>
      </c>
      <c r="BU13" s="3"/>
      <c r="BV13" s="3"/>
      <c r="BW13" s="3"/>
      <c r="BX13" s="4">
        <v>0.03</v>
      </c>
      <c r="BY13" s="24"/>
      <c r="BZ13" s="3"/>
      <c r="CA13" s="3"/>
      <c r="CB13" s="3"/>
      <c r="CC13" s="4"/>
      <c r="CD13" s="24"/>
      <c r="CE13" s="3"/>
      <c r="CF13" s="3"/>
      <c r="CG13" s="3"/>
      <c r="CH13" s="4"/>
      <c r="CI13" s="2">
        <v>0.59</v>
      </c>
      <c r="CJ13" s="3"/>
      <c r="CK13" s="3"/>
      <c r="CL13" s="3"/>
      <c r="CM13" s="4">
        <v>0.13</v>
      </c>
      <c r="CN13" s="29"/>
      <c r="CO13" s="3"/>
      <c r="CP13" s="3"/>
      <c r="CQ13" s="3"/>
      <c r="CR13" s="4"/>
      <c r="CS13" s="19"/>
      <c r="CT13" s="20"/>
      <c r="CU13" s="20"/>
      <c r="CV13" s="20"/>
      <c r="CW13" s="21"/>
      <c r="CX13" s="436"/>
      <c r="CY13" s="250"/>
      <c r="CZ13" s="250"/>
      <c r="DA13" s="250"/>
      <c r="DB13" s="323"/>
      <c r="DC13" s="437">
        <v>1.82</v>
      </c>
      <c r="DD13" s="251"/>
      <c r="DE13" s="251"/>
      <c r="DF13" s="251"/>
      <c r="DG13" s="326">
        <v>0.54</v>
      </c>
      <c r="DH13" s="2"/>
      <c r="DI13" s="3"/>
      <c r="DJ13" s="3"/>
      <c r="DK13" s="3"/>
      <c r="DL13" s="1"/>
      <c r="DM13" s="437"/>
      <c r="DN13" s="251"/>
      <c r="DO13" s="251"/>
      <c r="DP13" s="251"/>
      <c r="DQ13" s="326"/>
    </row>
    <row r="14" spans="1:121" ht="15" thickBot="1">
      <c r="A14" s="485" t="s">
        <v>216</v>
      </c>
      <c r="B14" s="482"/>
      <c r="C14" s="445"/>
      <c r="D14" s="445"/>
      <c r="E14" s="445"/>
      <c r="F14" s="474"/>
      <c r="G14" s="446"/>
      <c r="H14" s="12"/>
      <c r="I14" s="12"/>
      <c r="J14" s="12"/>
      <c r="K14" s="574">
        <v>0</v>
      </c>
      <c r="L14" s="449"/>
      <c r="M14" s="12"/>
      <c r="N14" s="12"/>
      <c r="O14" s="12"/>
      <c r="P14" s="447"/>
      <c r="Q14" s="446"/>
      <c r="R14" s="12"/>
      <c r="S14" s="12"/>
      <c r="T14" s="12"/>
      <c r="U14" s="447"/>
      <c r="V14" s="446"/>
      <c r="W14" s="12"/>
      <c r="X14" s="12"/>
      <c r="Y14" s="12">
        <v>7511</v>
      </c>
      <c r="Z14" s="447">
        <v>7511</v>
      </c>
      <c r="AA14" s="446"/>
      <c r="AB14" s="904">
        <v>0</v>
      </c>
      <c r="AC14" s="12"/>
      <c r="AD14" s="12"/>
      <c r="AE14" s="447"/>
      <c r="AF14" s="446"/>
      <c r="AG14" s="12"/>
      <c r="AH14" s="12"/>
      <c r="AI14" s="12">
        <v>4000</v>
      </c>
      <c r="AJ14" s="574">
        <v>4000</v>
      </c>
      <c r="AK14" s="449"/>
      <c r="AL14" s="12"/>
      <c r="AM14" s="12"/>
      <c r="AN14" s="12"/>
      <c r="AO14" s="447"/>
      <c r="AP14" s="446"/>
      <c r="AQ14" s="12"/>
      <c r="AR14" s="12"/>
      <c r="AS14" s="12"/>
      <c r="AT14" s="448"/>
      <c r="AU14" s="446"/>
      <c r="AV14" s="12"/>
      <c r="AW14" s="12"/>
      <c r="AX14" s="12"/>
      <c r="AY14" s="448"/>
      <c r="AZ14" s="446"/>
      <c r="BA14" s="12"/>
      <c r="BB14" s="12"/>
      <c r="BC14" s="12"/>
      <c r="BD14" s="447"/>
      <c r="BE14" s="446"/>
      <c r="BF14" s="12"/>
      <c r="BG14" s="12"/>
      <c r="BH14" s="12"/>
      <c r="BI14" s="447"/>
      <c r="BJ14" s="446"/>
      <c r="BK14" s="12"/>
      <c r="BL14" s="12"/>
      <c r="BM14" s="12"/>
      <c r="BN14" s="447"/>
      <c r="BO14" s="446"/>
      <c r="BP14" s="12"/>
      <c r="BQ14" s="12"/>
      <c r="BR14" s="12"/>
      <c r="BS14" s="447"/>
      <c r="BT14" s="446"/>
      <c r="BU14" s="12"/>
      <c r="BV14" s="12"/>
      <c r="BW14" s="12"/>
      <c r="BX14" s="447"/>
      <c r="BY14" s="449"/>
      <c r="BZ14" s="12"/>
      <c r="CA14" s="12"/>
      <c r="CB14" s="12"/>
      <c r="CC14" s="447"/>
      <c r="CD14" s="449"/>
      <c r="CE14" s="12"/>
      <c r="CF14" s="12"/>
      <c r="CG14" s="12"/>
      <c r="CH14" s="447"/>
      <c r="CI14" s="446"/>
      <c r="CJ14" s="12"/>
      <c r="CK14" s="12"/>
      <c r="CL14" s="12"/>
      <c r="CM14" s="447"/>
      <c r="CN14" s="71"/>
      <c r="CO14" s="12"/>
      <c r="CP14" s="12"/>
      <c r="CQ14" s="12"/>
      <c r="CR14" s="447"/>
      <c r="CS14" s="450"/>
      <c r="CT14" s="451"/>
      <c r="CU14" s="451"/>
      <c r="CV14" s="451"/>
      <c r="CW14" s="452"/>
      <c r="CX14" s="453">
        <v>20.23</v>
      </c>
      <c r="CY14" s="454"/>
      <c r="CZ14" s="454"/>
      <c r="DA14" s="454"/>
      <c r="DB14" s="455">
        <v>20.23</v>
      </c>
      <c r="DC14" s="456"/>
      <c r="DD14" s="329"/>
      <c r="DE14" s="329"/>
      <c r="DF14" s="329"/>
      <c r="DG14" s="330"/>
      <c r="DH14" s="446"/>
      <c r="DI14" s="12"/>
      <c r="DJ14" s="12"/>
      <c r="DK14" s="12"/>
      <c r="DL14" s="574"/>
      <c r="DM14" s="456"/>
      <c r="DN14" s="329"/>
      <c r="DO14" s="329"/>
      <c r="DP14" s="329"/>
      <c r="DQ14" s="330"/>
    </row>
  </sheetData>
  <sheetProtection/>
  <mergeCells count="27">
    <mergeCell ref="DH3:DL3"/>
    <mergeCell ref="DC3:DG3"/>
    <mergeCell ref="BO3:BS3"/>
    <mergeCell ref="CD3:CH3"/>
    <mergeCell ref="BE3:BI3"/>
    <mergeCell ref="CS3:CW3"/>
    <mergeCell ref="BT3:BX3"/>
    <mergeCell ref="BJ3:BN3"/>
    <mergeCell ref="A1:DQ1"/>
    <mergeCell ref="A2:DQ2"/>
    <mergeCell ref="A3:A4"/>
    <mergeCell ref="B3:F3"/>
    <mergeCell ref="G3:K3"/>
    <mergeCell ref="L3:P3"/>
    <mergeCell ref="DM3:DQ3"/>
    <mergeCell ref="CI3:CM3"/>
    <mergeCell ref="CN3:CR3"/>
    <mergeCell ref="BY3:CC3"/>
    <mergeCell ref="CX3:DB3"/>
    <mergeCell ref="AP3:AT3"/>
    <mergeCell ref="AU3:AY3"/>
    <mergeCell ref="AZ3:BD3"/>
    <mergeCell ref="Q3:U3"/>
    <mergeCell ref="V3:Z3"/>
    <mergeCell ref="AK3:AO3"/>
    <mergeCell ref="AA3:AE3"/>
    <mergeCell ref="AF3:AJ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S20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5"/>
  <cols>
    <col min="1" max="1" width="73.57421875" style="905" bestFit="1" customWidth="1"/>
    <col min="2" max="2" width="8.00390625" style="905" bestFit="1" customWidth="1"/>
    <col min="3" max="3" width="7.7109375" style="905" bestFit="1" customWidth="1"/>
    <col min="4" max="5" width="10.28125" style="905" bestFit="1" customWidth="1"/>
    <col min="6" max="6" width="8.00390625" style="905" bestFit="1" customWidth="1"/>
    <col min="7" max="7" width="7.7109375" style="905" bestFit="1" customWidth="1"/>
    <col min="8" max="8" width="9.00390625" style="905" bestFit="1" customWidth="1"/>
    <col min="9" max="9" width="10.28125" style="905" bestFit="1" customWidth="1"/>
    <col min="10" max="10" width="8.00390625" style="905" bestFit="1" customWidth="1"/>
    <col min="11" max="11" width="6.421875" style="905" bestFit="1" customWidth="1"/>
    <col min="12" max="12" width="7.00390625" style="905" bestFit="1" customWidth="1"/>
    <col min="13" max="13" width="9.140625" style="905" bestFit="1" customWidth="1"/>
    <col min="14" max="14" width="9.00390625" style="905" bestFit="1" customWidth="1"/>
    <col min="15" max="15" width="7.7109375" style="905" bestFit="1" customWidth="1"/>
    <col min="16" max="17" width="11.57421875" style="905" bestFit="1" customWidth="1"/>
    <col min="18" max="18" width="9.00390625" style="905" bestFit="1" customWidth="1"/>
    <col min="19" max="19" width="7.7109375" style="905" bestFit="1" customWidth="1"/>
    <col min="20" max="20" width="9.00390625" style="905" bestFit="1" customWidth="1"/>
    <col min="21" max="21" width="11.57421875" style="905" bestFit="1" customWidth="1"/>
    <col min="22" max="22" width="10.28125" style="905" bestFit="1" customWidth="1"/>
    <col min="23" max="23" width="7.7109375" style="905" bestFit="1" customWidth="1"/>
    <col min="24" max="24" width="10.28125" style="905" bestFit="1" customWidth="1"/>
    <col min="25" max="25" width="12.8515625" style="905" bestFit="1" customWidth="1"/>
    <col min="26" max="26" width="11.57421875" style="905" bestFit="1" customWidth="1"/>
    <col min="27" max="27" width="7.7109375" style="905" bestFit="1" customWidth="1"/>
    <col min="28" max="28" width="10.28125" style="905" bestFit="1" customWidth="1"/>
    <col min="29" max="29" width="14.28125" style="905" bestFit="1" customWidth="1"/>
    <col min="30" max="30" width="8.00390625" style="905" bestFit="1" customWidth="1"/>
    <col min="31" max="31" width="7.7109375" style="905" bestFit="1" customWidth="1"/>
    <col min="32" max="32" width="9.00390625" style="905" bestFit="1" customWidth="1"/>
    <col min="33" max="34" width="11.57421875" style="905" bestFit="1" customWidth="1"/>
    <col min="35" max="35" width="7.7109375" style="905" bestFit="1" customWidth="1"/>
    <col min="36" max="36" width="10.28125" style="905" bestFit="1" customWidth="1"/>
    <col min="37" max="37" width="12.8515625" style="905" bestFit="1" customWidth="1"/>
    <col min="38" max="39" width="7.7109375" style="905" bestFit="1" customWidth="1"/>
    <col min="40" max="40" width="9.00390625" style="905" bestFit="1" customWidth="1"/>
    <col min="41" max="41" width="10.28125" style="905" bestFit="1" customWidth="1"/>
    <col min="42" max="42" width="12.8515625" style="905" bestFit="1" customWidth="1"/>
    <col min="43" max="43" width="9.00390625" style="905" bestFit="1" customWidth="1"/>
    <col min="44" max="44" width="11.57421875" style="905" bestFit="1" customWidth="1"/>
    <col min="45" max="45" width="14.28125" style="905" bestFit="1" customWidth="1"/>
    <col min="46" max="46" width="11.57421875" style="905" bestFit="1" customWidth="1"/>
    <col min="47" max="47" width="9.00390625" style="905" bestFit="1" customWidth="1"/>
    <col min="48" max="48" width="11.57421875" style="905" bestFit="1" customWidth="1"/>
    <col min="49" max="49" width="14.28125" style="905" bestFit="1" customWidth="1"/>
    <col min="50" max="50" width="9.00390625" style="905" bestFit="1" customWidth="1"/>
    <col min="51" max="52" width="7.7109375" style="905" bestFit="1" customWidth="1"/>
    <col min="53" max="53" width="10.28125" style="905" bestFit="1" customWidth="1"/>
    <col min="54" max="54" width="11.57421875" style="905" bestFit="1" customWidth="1"/>
    <col min="55" max="56" width="7.7109375" style="905" bestFit="1" customWidth="1"/>
    <col min="57" max="58" width="12.8515625" style="905" bestFit="1" customWidth="1"/>
    <col min="59" max="59" width="9.00390625" style="905" bestFit="1" customWidth="1"/>
    <col min="60" max="60" width="11.57421875" style="905" bestFit="1" customWidth="1"/>
    <col min="61" max="61" width="14.28125" style="905" bestFit="1" customWidth="1"/>
    <col min="62" max="62" width="10.28125" style="905" bestFit="1" customWidth="1"/>
    <col min="63" max="64" width="9.00390625" style="905" bestFit="1" customWidth="1"/>
    <col min="65" max="65" width="11.57421875" style="905" bestFit="1" customWidth="1"/>
    <col min="66" max="66" width="8.00390625" style="905" bestFit="1" customWidth="1"/>
    <col min="67" max="68" width="7.7109375" style="905" bestFit="1" customWidth="1"/>
    <col min="69" max="69" width="9.140625" style="905" customWidth="1"/>
    <col min="70" max="71" width="7.7109375" style="905" bestFit="1" customWidth="1"/>
    <col min="72" max="72" width="9.8515625" style="905" bestFit="1" customWidth="1"/>
    <col min="73" max="73" width="10.28125" style="905" bestFit="1" customWidth="1"/>
    <col min="74" max="74" width="8.00390625" style="905" bestFit="1" customWidth="1"/>
    <col min="75" max="75" width="6.421875" style="905" bestFit="1" customWidth="1"/>
    <col min="76" max="76" width="7.00390625" style="905" bestFit="1" customWidth="1"/>
    <col min="77" max="77" width="9.140625" style="905" customWidth="1"/>
    <col min="78" max="78" width="8.00390625" style="905" bestFit="1" customWidth="1"/>
    <col min="79" max="79" width="9.00390625" style="905" bestFit="1" customWidth="1"/>
    <col min="80" max="80" width="10.28125" style="905" bestFit="1" customWidth="1"/>
    <col min="81" max="81" width="10.8515625" style="905" bestFit="1" customWidth="1"/>
    <col min="82" max="82" width="11.57421875" style="905" bestFit="1" customWidth="1"/>
    <col min="83" max="83" width="9.00390625" style="905" bestFit="1" customWidth="1"/>
    <col min="84" max="84" width="10.28125" style="905" bestFit="1" customWidth="1"/>
    <col min="85" max="85" width="14.28125" style="905" bestFit="1" customWidth="1"/>
    <col min="86" max="86" width="11.57421875" style="905" bestFit="1" customWidth="1"/>
    <col min="87" max="87" width="7.7109375" style="905" bestFit="1" customWidth="1"/>
    <col min="88" max="88" width="10.28125" style="905" bestFit="1" customWidth="1"/>
    <col min="89" max="89" width="14.28125" style="905" bestFit="1" customWidth="1"/>
    <col min="90" max="92" width="9.00390625" style="905" bestFit="1" customWidth="1"/>
    <col min="93" max="93" width="10.28125" style="905" bestFit="1" customWidth="1"/>
    <col min="94" max="94" width="8.00390625" style="905" bestFit="1" customWidth="1"/>
    <col min="95" max="95" width="6.421875" style="905" bestFit="1" customWidth="1"/>
    <col min="96" max="96" width="7.00390625" style="905" bestFit="1" customWidth="1"/>
    <col min="97" max="97" width="14.140625" style="905" bestFit="1" customWidth="1"/>
    <col min="98" max="16384" width="9.140625" style="905" customWidth="1"/>
  </cols>
  <sheetData>
    <row r="1" ht="17.25" thickBot="1">
      <c r="A1" s="1484" t="s">
        <v>524</v>
      </c>
    </row>
    <row r="2" spans="1:97" s="1530" customFormat="1" ht="27" customHeight="1" thickBot="1">
      <c r="A2" s="1526" t="s">
        <v>476</v>
      </c>
      <c r="B2" s="1819" t="s">
        <v>477</v>
      </c>
      <c r="C2" s="1820"/>
      <c r="D2" s="1820"/>
      <c r="E2" s="1821"/>
      <c r="F2" s="1822" t="s">
        <v>478</v>
      </c>
      <c r="G2" s="1823"/>
      <c r="H2" s="1823"/>
      <c r="I2" s="1824"/>
      <c r="J2" s="1823" t="s">
        <v>479</v>
      </c>
      <c r="K2" s="1823"/>
      <c r="L2" s="1823"/>
      <c r="M2" s="1824"/>
      <c r="N2" s="1823" t="s">
        <v>480</v>
      </c>
      <c r="O2" s="1823"/>
      <c r="P2" s="1823"/>
      <c r="Q2" s="1824"/>
      <c r="R2" s="1823" t="s">
        <v>481</v>
      </c>
      <c r="S2" s="1823"/>
      <c r="T2" s="1823"/>
      <c r="U2" s="1824"/>
      <c r="V2" s="1823" t="s">
        <v>482</v>
      </c>
      <c r="W2" s="1823"/>
      <c r="X2" s="1823"/>
      <c r="Y2" s="1824"/>
      <c r="Z2" s="1823" t="s">
        <v>530</v>
      </c>
      <c r="AA2" s="1823"/>
      <c r="AB2" s="1823"/>
      <c r="AC2" s="1824"/>
      <c r="AD2" s="1823" t="s">
        <v>483</v>
      </c>
      <c r="AE2" s="1823"/>
      <c r="AF2" s="1823"/>
      <c r="AG2" s="1824"/>
      <c r="AH2" s="1823" t="s">
        <v>484</v>
      </c>
      <c r="AI2" s="1823"/>
      <c r="AJ2" s="1823"/>
      <c r="AK2" s="1824"/>
      <c r="AL2" s="1823" t="s">
        <v>485</v>
      </c>
      <c r="AM2" s="1823"/>
      <c r="AN2" s="1823"/>
      <c r="AO2" s="1824"/>
      <c r="AP2" s="1823" t="s">
        <v>486</v>
      </c>
      <c r="AQ2" s="1823"/>
      <c r="AR2" s="1823"/>
      <c r="AS2" s="1824"/>
      <c r="AT2" s="1823" t="s">
        <v>487</v>
      </c>
      <c r="AU2" s="1823"/>
      <c r="AV2" s="1823"/>
      <c r="AW2" s="1824"/>
      <c r="AX2" s="1823" t="s">
        <v>488</v>
      </c>
      <c r="AY2" s="1823"/>
      <c r="AZ2" s="1823"/>
      <c r="BA2" s="1824"/>
      <c r="BB2" s="1823" t="s">
        <v>489</v>
      </c>
      <c r="BC2" s="1823"/>
      <c r="BD2" s="1823"/>
      <c r="BE2" s="1824"/>
      <c r="BF2" s="1823" t="s">
        <v>490</v>
      </c>
      <c r="BG2" s="1823"/>
      <c r="BH2" s="1823"/>
      <c r="BI2" s="1824"/>
      <c r="BJ2" s="1823" t="s">
        <v>491</v>
      </c>
      <c r="BK2" s="1823"/>
      <c r="BL2" s="1823"/>
      <c r="BM2" s="1824"/>
      <c r="BN2" s="1823" t="s">
        <v>492</v>
      </c>
      <c r="BO2" s="1823"/>
      <c r="BP2" s="1823"/>
      <c r="BQ2" s="1824"/>
      <c r="BR2" s="1823" t="s">
        <v>493</v>
      </c>
      <c r="BS2" s="1823"/>
      <c r="BT2" s="1823"/>
      <c r="BU2" s="1824"/>
      <c r="BV2" s="1823" t="s">
        <v>201</v>
      </c>
      <c r="BW2" s="1823"/>
      <c r="BX2" s="1823"/>
      <c r="BY2" s="1824"/>
      <c r="BZ2" s="1823" t="s">
        <v>494</v>
      </c>
      <c r="CA2" s="1823"/>
      <c r="CB2" s="1823"/>
      <c r="CC2" s="1824"/>
      <c r="CD2" s="1823" t="s">
        <v>495</v>
      </c>
      <c r="CE2" s="1823"/>
      <c r="CF2" s="1823"/>
      <c r="CG2" s="1824"/>
      <c r="CH2" s="1823" t="s">
        <v>496</v>
      </c>
      <c r="CI2" s="1823"/>
      <c r="CJ2" s="1823"/>
      <c r="CK2" s="1824"/>
      <c r="CL2" s="1823" t="s">
        <v>497</v>
      </c>
      <c r="CM2" s="1823"/>
      <c r="CN2" s="1823"/>
      <c r="CO2" s="1824"/>
      <c r="CP2" s="1823" t="s">
        <v>206</v>
      </c>
      <c r="CQ2" s="1823"/>
      <c r="CR2" s="1823"/>
      <c r="CS2" s="1824"/>
    </row>
    <row r="3" spans="1:97" s="1530" customFormat="1" ht="57.75" thickBot="1">
      <c r="A3" s="1531" t="s">
        <v>0</v>
      </c>
      <c r="B3" s="1527" t="s">
        <v>498</v>
      </c>
      <c r="C3" s="1528" t="s">
        <v>472</v>
      </c>
      <c r="D3" s="1528" t="s">
        <v>499</v>
      </c>
      <c r="E3" s="1529" t="s">
        <v>500</v>
      </c>
      <c r="F3" s="1532" t="s">
        <v>498</v>
      </c>
      <c r="G3" s="1515" t="s">
        <v>472</v>
      </c>
      <c r="H3" s="1515" t="s">
        <v>499</v>
      </c>
      <c r="I3" s="1516" t="s">
        <v>500</v>
      </c>
      <c r="J3" s="1514" t="s">
        <v>498</v>
      </c>
      <c r="K3" s="1515" t="s">
        <v>472</v>
      </c>
      <c r="L3" s="1515" t="s">
        <v>499</v>
      </c>
      <c r="M3" s="1516" t="s">
        <v>500</v>
      </c>
      <c r="N3" s="1514" t="s">
        <v>498</v>
      </c>
      <c r="O3" s="1515" t="s">
        <v>472</v>
      </c>
      <c r="P3" s="1515" t="s">
        <v>473</v>
      </c>
      <c r="Q3" s="1516" t="s">
        <v>500</v>
      </c>
      <c r="R3" s="1514" t="s">
        <v>498</v>
      </c>
      <c r="S3" s="1515" t="s">
        <v>472</v>
      </c>
      <c r="T3" s="1515" t="s">
        <v>499</v>
      </c>
      <c r="U3" s="1516" t="s">
        <v>500</v>
      </c>
      <c r="V3" s="1514" t="s">
        <v>498</v>
      </c>
      <c r="W3" s="1515" t="s">
        <v>472</v>
      </c>
      <c r="X3" s="1515" t="s">
        <v>499</v>
      </c>
      <c r="Y3" s="1516" t="s">
        <v>500</v>
      </c>
      <c r="Z3" s="1514" t="s">
        <v>498</v>
      </c>
      <c r="AA3" s="1515" t="s">
        <v>472</v>
      </c>
      <c r="AB3" s="1515" t="s">
        <v>499</v>
      </c>
      <c r="AC3" s="1516" t="s">
        <v>500</v>
      </c>
      <c r="AD3" s="1514" t="s">
        <v>498</v>
      </c>
      <c r="AE3" s="1515" t="s">
        <v>472</v>
      </c>
      <c r="AF3" s="1515" t="s">
        <v>499</v>
      </c>
      <c r="AG3" s="1516" t="s">
        <v>500</v>
      </c>
      <c r="AH3" s="1514" t="s">
        <v>498</v>
      </c>
      <c r="AI3" s="1515" t="s">
        <v>472</v>
      </c>
      <c r="AJ3" s="1515" t="s">
        <v>499</v>
      </c>
      <c r="AK3" s="1516" t="s">
        <v>500</v>
      </c>
      <c r="AL3" s="1514" t="s">
        <v>498</v>
      </c>
      <c r="AM3" s="1515" t="s">
        <v>472</v>
      </c>
      <c r="AN3" s="1515" t="s">
        <v>499</v>
      </c>
      <c r="AO3" s="1516" t="s">
        <v>500</v>
      </c>
      <c r="AP3" s="1514" t="s">
        <v>498</v>
      </c>
      <c r="AQ3" s="1515" t="s">
        <v>472</v>
      </c>
      <c r="AR3" s="1515" t="s">
        <v>499</v>
      </c>
      <c r="AS3" s="1516" t="s">
        <v>500</v>
      </c>
      <c r="AT3" s="1514" t="s">
        <v>498</v>
      </c>
      <c r="AU3" s="1515" t="s">
        <v>472</v>
      </c>
      <c r="AV3" s="1515" t="s">
        <v>499</v>
      </c>
      <c r="AW3" s="1516" t="s">
        <v>500</v>
      </c>
      <c r="AX3" s="1514" t="s">
        <v>498</v>
      </c>
      <c r="AY3" s="1515" t="s">
        <v>472</v>
      </c>
      <c r="AZ3" s="1515" t="s">
        <v>499</v>
      </c>
      <c r="BA3" s="1516" t="s">
        <v>500</v>
      </c>
      <c r="BB3" s="1514" t="s">
        <v>498</v>
      </c>
      <c r="BC3" s="1515" t="s">
        <v>472</v>
      </c>
      <c r="BD3" s="1515" t="s">
        <v>499</v>
      </c>
      <c r="BE3" s="1516" t="s">
        <v>500</v>
      </c>
      <c r="BF3" s="1514" t="s">
        <v>498</v>
      </c>
      <c r="BG3" s="1515" t="s">
        <v>472</v>
      </c>
      <c r="BH3" s="1515" t="s">
        <v>499</v>
      </c>
      <c r="BI3" s="1516" t="s">
        <v>500</v>
      </c>
      <c r="BJ3" s="1514" t="s">
        <v>498</v>
      </c>
      <c r="BK3" s="1515" t="s">
        <v>472</v>
      </c>
      <c r="BL3" s="1515" t="s">
        <v>499</v>
      </c>
      <c r="BM3" s="1516" t="s">
        <v>500</v>
      </c>
      <c r="BN3" s="1514" t="s">
        <v>498</v>
      </c>
      <c r="BO3" s="1515" t="s">
        <v>472</v>
      </c>
      <c r="BP3" s="1515" t="s">
        <v>499</v>
      </c>
      <c r="BQ3" s="1516" t="s">
        <v>500</v>
      </c>
      <c r="BR3" s="1514" t="s">
        <v>498</v>
      </c>
      <c r="BS3" s="1515" t="s">
        <v>472</v>
      </c>
      <c r="BT3" s="1515" t="s">
        <v>499</v>
      </c>
      <c r="BU3" s="1516" t="s">
        <v>500</v>
      </c>
      <c r="BV3" s="1514" t="s">
        <v>498</v>
      </c>
      <c r="BW3" s="1515" t="s">
        <v>472</v>
      </c>
      <c r="BX3" s="1515" t="s">
        <v>499</v>
      </c>
      <c r="BY3" s="1516" t="s">
        <v>500</v>
      </c>
      <c r="BZ3" s="1514" t="s">
        <v>498</v>
      </c>
      <c r="CA3" s="1515" t="s">
        <v>472</v>
      </c>
      <c r="CB3" s="1515" t="s">
        <v>499</v>
      </c>
      <c r="CC3" s="1516" t="s">
        <v>500</v>
      </c>
      <c r="CD3" s="1514" t="s">
        <v>498</v>
      </c>
      <c r="CE3" s="1515" t="s">
        <v>472</v>
      </c>
      <c r="CF3" s="1515" t="s">
        <v>499</v>
      </c>
      <c r="CG3" s="1516" t="s">
        <v>500</v>
      </c>
      <c r="CH3" s="1514" t="s">
        <v>498</v>
      </c>
      <c r="CI3" s="1515" t="s">
        <v>472</v>
      </c>
      <c r="CJ3" s="1515" t="s">
        <v>499</v>
      </c>
      <c r="CK3" s="1516" t="s">
        <v>500</v>
      </c>
      <c r="CL3" s="1514" t="s">
        <v>498</v>
      </c>
      <c r="CM3" s="1515" t="s">
        <v>472</v>
      </c>
      <c r="CN3" s="1515" t="s">
        <v>499</v>
      </c>
      <c r="CO3" s="1516" t="s">
        <v>500</v>
      </c>
      <c r="CP3" s="1514" t="s">
        <v>498</v>
      </c>
      <c r="CQ3" s="1515" t="s">
        <v>472</v>
      </c>
      <c r="CR3" s="1515" t="s">
        <v>499</v>
      </c>
      <c r="CS3" s="1516" t="s">
        <v>500</v>
      </c>
    </row>
    <row r="4" spans="1:97" ht="16.5">
      <c r="A4" s="1485" t="s">
        <v>501</v>
      </c>
      <c r="B4" s="1533"/>
      <c r="C4" s="1534"/>
      <c r="D4" s="1534"/>
      <c r="E4" s="1535"/>
      <c r="F4" s="1536"/>
      <c r="G4" s="1518"/>
      <c r="H4" s="1518"/>
      <c r="I4" s="1537"/>
      <c r="J4" s="1517"/>
      <c r="K4" s="1518"/>
      <c r="L4" s="1518"/>
      <c r="M4" s="1537"/>
      <c r="N4" s="1517"/>
      <c r="O4" s="1518"/>
      <c r="P4" s="1518"/>
      <c r="Q4" s="1519"/>
      <c r="R4" s="1536"/>
      <c r="S4" s="1518"/>
      <c r="T4" s="1518"/>
      <c r="U4" s="1537"/>
      <c r="V4" s="1517"/>
      <c r="W4" s="1518"/>
      <c r="X4" s="1518"/>
      <c r="Y4" s="1537"/>
      <c r="Z4" s="1517"/>
      <c r="AA4" s="1518"/>
      <c r="AB4" s="1518"/>
      <c r="AC4" s="1537"/>
      <c r="AD4" s="1517"/>
      <c r="AE4" s="1518"/>
      <c r="AF4" s="1518"/>
      <c r="AG4" s="1537"/>
      <c r="AH4" s="1517"/>
      <c r="AI4" s="1518"/>
      <c r="AJ4" s="1518"/>
      <c r="AK4" s="1537"/>
      <c r="AL4" s="1517"/>
      <c r="AM4" s="1518"/>
      <c r="AN4" s="1518"/>
      <c r="AO4" s="1537"/>
      <c r="AP4" s="1517"/>
      <c r="AQ4" s="1518"/>
      <c r="AR4" s="1518"/>
      <c r="AS4" s="1537"/>
      <c r="AT4" s="1517"/>
      <c r="AU4" s="1518"/>
      <c r="AV4" s="1518"/>
      <c r="AW4" s="1537"/>
      <c r="AX4" s="1517"/>
      <c r="AY4" s="1518"/>
      <c r="AZ4" s="1518"/>
      <c r="BA4" s="1537"/>
      <c r="BB4" s="1517"/>
      <c r="BC4" s="1518"/>
      <c r="BD4" s="1518"/>
      <c r="BE4" s="1537"/>
      <c r="BF4" s="1517"/>
      <c r="BG4" s="1518"/>
      <c r="BH4" s="1518"/>
      <c r="BI4" s="1537"/>
      <c r="BJ4" s="1517"/>
      <c r="BK4" s="1518"/>
      <c r="BL4" s="1518"/>
      <c r="BM4" s="1537"/>
      <c r="BN4" s="1517"/>
      <c r="BO4" s="1518"/>
      <c r="BP4" s="1518"/>
      <c r="BQ4" s="1537"/>
      <c r="BR4" s="1517"/>
      <c r="BS4" s="1518"/>
      <c r="BT4" s="1518"/>
      <c r="BU4" s="1537"/>
      <c r="BV4" s="1517"/>
      <c r="BW4" s="1518"/>
      <c r="BX4" s="1518"/>
      <c r="BY4" s="1537"/>
      <c r="BZ4" s="1517"/>
      <c r="CA4" s="1518"/>
      <c r="CB4" s="1518"/>
      <c r="CC4" s="1537"/>
      <c r="CD4" s="1517"/>
      <c r="CE4" s="1518"/>
      <c r="CF4" s="1518"/>
      <c r="CG4" s="1537"/>
      <c r="CH4" s="1517"/>
      <c r="CI4" s="1518"/>
      <c r="CJ4" s="1518"/>
      <c r="CK4" s="1537"/>
      <c r="CL4" s="1517"/>
      <c r="CM4" s="1518"/>
      <c r="CN4" s="1518"/>
      <c r="CO4" s="1537"/>
      <c r="CP4" s="1517"/>
      <c r="CQ4" s="1518"/>
      <c r="CR4" s="1518"/>
      <c r="CS4" s="1537"/>
    </row>
    <row r="5" spans="1:97" ht="16.5">
      <c r="A5" s="1486" t="s">
        <v>502</v>
      </c>
      <c r="B5" s="1513">
        <v>466</v>
      </c>
      <c r="C5" s="1538">
        <v>968</v>
      </c>
      <c r="D5" s="1539">
        <v>968</v>
      </c>
      <c r="E5" s="1540">
        <v>2026</v>
      </c>
      <c r="F5" s="1522">
        <v>52</v>
      </c>
      <c r="G5" s="1487">
        <v>15001</v>
      </c>
      <c r="H5" s="1487">
        <v>14999</v>
      </c>
      <c r="I5" s="1540">
        <v>2463</v>
      </c>
      <c r="J5" s="1520"/>
      <c r="K5" s="1487"/>
      <c r="L5" s="1487"/>
      <c r="M5" s="1540"/>
      <c r="N5" s="1520">
        <v>6028</v>
      </c>
      <c r="O5" s="1487">
        <v>245</v>
      </c>
      <c r="P5" s="1487">
        <v>168</v>
      </c>
      <c r="Q5" s="1521">
        <v>853</v>
      </c>
      <c r="R5" s="1522">
        <v>0.31</v>
      </c>
      <c r="S5" s="1487">
        <v>10942</v>
      </c>
      <c r="T5" s="1487">
        <v>10898</v>
      </c>
      <c r="U5" s="1540">
        <v>7.03</v>
      </c>
      <c r="V5" s="1520">
        <v>56</v>
      </c>
      <c r="W5" s="1487">
        <v>56</v>
      </c>
      <c r="X5" s="1487">
        <v>54</v>
      </c>
      <c r="Y5" s="1540">
        <v>154.4</v>
      </c>
      <c r="Z5" s="1520">
        <v>60.79</v>
      </c>
      <c r="AA5" s="1487">
        <v>201</v>
      </c>
      <c r="AB5" s="1487">
        <v>229</v>
      </c>
      <c r="AC5" s="1540">
        <v>323.95</v>
      </c>
      <c r="AD5" s="1520">
        <v>0.06</v>
      </c>
      <c r="AE5" s="1487">
        <v>4225</v>
      </c>
      <c r="AF5" s="1487">
        <v>4225</v>
      </c>
      <c r="AG5" s="1540">
        <v>2.17</v>
      </c>
      <c r="AH5" s="1520"/>
      <c r="AI5" s="1487"/>
      <c r="AJ5" s="1487"/>
      <c r="AK5" s="1540"/>
      <c r="AL5" s="1520">
        <v>0</v>
      </c>
      <c r="AM5" s="1487">
        <v>8</v>
      </c>
      <c r="AN5" s="1487">
        <v>7</v>
      </c>
      <c r="AO5" s="1540">
        <v>80</v>
      </c>
      <c r="AP5" s="1520">
        <v>90.74</v>
      </c>
      <c r="AQ5" s="1487">
        <v>1284</v>
      </c>
      <c r="AR5" s="1487">
        <f>AQ5</f>
        <v>1284</v>
      </c>
      <c r="AS5" s="1540">
        <v>2980.77</v>
      </c>
      <c r="AT5" s="1520">
        <v>282.4</v>
      </c>
      <c r="AU5" s="1487">
        <v>103</v>
      </c>
      <c r="AV5" s="1487">
        <v>99</v>
      </c>
      <c r="AW5" s="1540">
        <v>906.1</v>
      </c>
      <c r="AX5" s="1520"/>
      <c r="AY5" s="1487">
        <v>1</v>
      </c>
      <c r="AZ5" s="1487">
        <v>1</v>
      </c>
      <c r="BA5" s="1540">
        <v>0.05</v>
      </c>
      <c r="BB5" s="1520">
        <v>91.26</v>
      </c>
      <c r="BC5" s="1487">
        <v>15030</v>
      </c>
      <c r="BD5" s="1487">
        <v>15030</v>
      </c>
      <c r="BE5" s="1540">
        <v>5112979</v>
      </c>
      <c r="BF5" s="1520">
        <v>76.23</v>
      </c>
      <c r="BG5" s="1487">
        <v>38117</v>
      </c>
      <c r="BH5" s="1487">
        <v>38067</v>
      </c>
      <c r="BI5" s="1540">
        <v>1905.85</v>
      </c>
      <c r="BJ5" s="1520">
        <v>104.25</v>
      </c>
      <c r="BK5" s="1487"/>
      <c r="BL5" s="1487"/>
      <c r="BM5" s="1540">
        <v>281.76</v>
      </c>
      <c r="BN5" s="1520">
        <v>48</v>
      </c>
      <c r="BO5" s="1487">
        <v>117</v>
      </c>
      <c r="BP5" s="1487">
        <v>110</v>
      </c>
      <c r="BQ5" s="1540">
        <v>946</v>
      </c>
      <c r="BR5" s="1520"/>
      <c r="BS5" s="1487"/>
      <c r="BT5" s="1487"/>
      <c r="BU5" s="1540"/>
      <c r="BV5" s="1520"/>
      <c r="BW5" s="1487"/>
      <c r="BX5" s="1487"/>
      <c r="BY5" s="1540"/>
      <c r="BZ5" s="1520"/>
      <c r="CA5" s="1487">
        <v>355</v>
      </c>
      <c r="CB5" s="1487">
        <v>355</v>
      </c>
      <c r="CC5" s="1540">
        <v>1</v>
      </c>
      <c r="CF5" s="1487"/>
      <c r="CG5" s="1540"/>
      <c r="CH5" s="1520">
        <v>-14.52</v>
      </c>
      <c r="CI5" s="1487"/>
      <c r="CJ5" s="1487"/>
      <c r="CK5" s="1540">
        <v>15</v>
      </c>
      <c r="CL5" s="1520">
        <v>1</v>
      </c>
      <c r="CM5" s="1487"/>
      <c r="CN5" s="1487"/>
      <c r="CO5" s="1540"/>
      <c r="CP5" s="1520"/>
      <c r="CQ5" s="1487"/>
      <c r="CR5" s="1487"/>
      <c r="CS5" s="1540"/>
    </row>
    <row r="6" spans="1:97" ht="16.5">
      <c r="A6" s="1486" t="s">
        <v>503</v>
      </c>
      <c r="B6" s="1513">
        <v>1971</v>
      </c>
      <c r="C6" s="1538">
        <v>1005</v>
      </c>
      <c r="D6" s="1539">
        <v>1005</v>
      </c>
      <c r="E6" s="1540">
        <v>3678</v>
      </c>
      <c r="F6" s="1522">
        <v>37</v>
      </c>
      <c r="G6" s="1487">
        <v>21</v>
      </c>
      <c r="H6" s="1487">
        <v>14</v>
      </c>
      <c r="I6" s="1540">
        <v>184</v>
      </c>
      <c r="J6" s="1520"/>
      <c r="K6" s="1487"/>
      <c r="L6" s="1487"/>
      <c r="M6" s="1540"/>
      <c r="N6" s="1520">
        <v>268</v>
      </c>
      <c r="O6" s="1487">
        <v>83</v>
      </c>
      <c r="P6" s="1487">
        <v>57</v>
      </c>
      <c r="Q6" s="1521">
        <v>745</v>
      </c>
      <c r="R6" s="1522">
        <v>2.79</v>
      </c>
      <c r="S6" s="1487">
        <v>203</v>
      </c>
      <c r="T6" s="1487">
        <v>162</v>
      </c>
      <c r="U6" s="1540">
        <v>3.89</v>
      </c>
      <c r="V6" s="1520">
        <v>89.7</v>
      </c>
      <c r="W6" s="1487">
        <v>47</v>
      </c>
      <c r="X6" s="1487">
        <v>44</v>
      </c>
      <c r="Y6" s="1540">
        <v>206.6</v>
      </c>
      <c r="Z6" s="1520">
        <v>149.54</v>
      </c>
      <c r="AA6" s="1487">
        <v>91</v>
      </c>
      <c r="AB6" s="1487">
        <v>85</v>
      </c>
      <c r="AC6" s="1540">
        <v>374.61</v>
      </c>
      <c r="AD6" s="1520">
        <v>0</v>
      </c>
      <c r="AE6" s="1487">
        <v>1</v>
      </c>
      <c r="AF6" s="1487">
        <v>1</v>
      </c>
      <c r="AG6" s="1540">
        <v>0</v>
      </c>
      <c r="AH6" s="1520">
        <v>250.77</v>
      </c>
      <c r="AI6" s="1487"/>
      <c r="AJ6" s="1487"/>
      <c r="AK6" s="1540"/>
      <c r="AL6" s="1520">
        <v>1</v>
      </c>
      <c r="AM6" s="1487">
        <v>6</v>
      </c>
      <c r="AN6" s="1487">
        <v>6</v>
      </c>
      <c r="AO6" s="1540">
        <v>100</v>
      </c>
      <c r="AP6" s="1520">
        <v>253.52</v>
      </c>
      <c r="AQ6" s="1487">
        <v>1296</v>
      </c>
      <c r="AR6" s="1487">
        <f>AQ6</f>
        <v>1296</v>
      </c>
      <c r="AS6" s="1540">
        <v>2919.48</v>
      </c>
      <c r="AT6" s="1520">
        <v>972.3</v>
      </c>
      <c r="AU6" s="1487">
        <v>25</v>
      </c>
      <c r="AV6" s="1487">
        <v>25</v>
      </c>
      <c r="AW6" s="1540">
        <v>466.2</v>
      </c>
      <c r="AX6" s="1520">
        <v>0.72</v>
      </c>
      <c r="AY6" s="1487">
        <v>290</v>
      </c>
      <c r="AZ6" s="1487">
        <v>274</v>
      </c>
      <c r="BA6" s="1540">
        <v>3.17</v>
      </c>
      <c r="BB6" s="1520">
        <v>8.5</v>
      </c>
      <c r="BC6" s="1487">
        <v>55</v>
      </c>
      <c r="BD6" s="1487">
        <v>55</v>
      </c>
      <c r="BE6" s="1540">
        <v>1317479</v>
      </c>
      <c r="BF6" s="1520">
        <v>56.16</v>
      </c>
      <c r="BG6" s="1487">
        <v>360</v>
      </c>
      <c r="BH6" s="1487">
        <v>360</v>
      </c>
      <c r="BI6" s="1540">
        <v>5510.04</v>
      </c>
      <c r="BJ6" s="1520">
        <v>311.5</v>
      </c>
      <c r="BK6" s="1487"/>
      <c r="BL6" s="1487"/>
      <c r="BM6" s="1540">
        <v>781.33</v>
      </c>
      <c r="BN6" s="1520">
        <v>125</v>
      </c>
      <c r="BO6" s="1487">
        <v>12</v>
      </c>
      <c r="BP6" s="1487">
        <v>12</v>
      </c>
      <c r="BQ6" s="1540">
        <v>80</v>
      </c>
      <c r="BR6" s="1520">
        <v>2</v>
      </c>
      <c r="BS6" s="1487"/>
      <c r="BT6" s="1487"/>
      <c r="BU6" s="1540"/>
      <c r="BV6" s="1520"/>
      <c r="BW6" s="1487"/>
      <c r="BX6" s="1487"/>
      <c r="BY6" s="1540"/>
      <c r="BZ6" s="1520">
        <v>4</v>
      </c>
      <c r="CA6" s="1487">
        <v>1672</v>
      </c>
      <c r="CB6" s="1487">
        <v>1672</v>
      </c>
      <c r="CC6" s="1540">
        <v>151</v>
      </c>
      <c r="CD6" s="905">
        <v>29.5</v>
      </c>
      <c r="CE6" s="1487">
        <v>118</v>
      </c>
      <c r="CF6" s="1487">
        <v>102</v>
      </c>
      <c r="CG6" s="1540">
        <v>41.53</v>
      </c>
      <c r="CH6" s="1520">
        <v>-1.76</v>
      </c>
      <c r="CI6" s="1487"/>
      <c r="CJ6" s="1487"/>
      <c r="CK6" s="1540"/>
      <c r="CL6" s="1520">
        <v>9</v>
      </c>
      <c r="CM6" s="1487">
        <v>1</v>
      </c>
      <c r="CN6" s="1487">
        <v>1</v>
      </c>
      <c r="CO6" s="1540">
        <v>50</v>
      </c>
      <c r="CP6" s="1520"/>
      <c r="CQ6" s="1487"/>
      <c r="CR6" s="1487"/>
      <c r="CS6" s="1540"/>
    </row>
    <row r="7" spans="1:97" ht="16.5">
      <c r="A7" s="1486" t="s">
        <v>504</v>
      </c>
      <c r="B7" s="1513">
        <v>2547</v>
      </c>
      <c r="C7" s="1538">
        <v>608</v>
      </c>
      <c r="D7" s="1539">
        <v>608</v>
      </c>
      <c r="E7" s="1540">
        <v>4753</v>
      </c>
      <c r="F7" s="1522">
        <v>43</v>
      </c>
      <c r="G7" s="1487">
        <v>10</v>
      </c>
      <c r="H7" s="1487">
        <v>6</v>
      </c>
      <c r="I7" s="1540">
        <v>447</v>
      </c>
      <c r="J7" s="1520"/>
      <c r="K7" s="1487"/>
      <c r="L7" s="1487"/>
      <c r="M7" s="1540"/>
      <c r="N7" s="1520">
        <v>269</v>
      </c>
      <c r="O7" s="1487">
        <v>53</v>
      </c>
      <c r="P7" s="1487">
        <v>36</v>
      </c>
      <c r="Q7" s="1521">
        <v>948</v>
      </c>
      <c r="R7" s="1522">
        <v>2.95</v>
      </c>
      <c r="S7" s="1487">
        <v>72</v>
      </c>
      <c r="T7" s="1487">
        <v>59</v>
      </c>
      <c r="U7" s="1540">
        <v>7.64</v>
      </c>
      <c r="V7" s="1520">
        <v>250.1</v>
      </c>
      <c r="W7" s="1487">
        <v>55</v>
      </c>
      <c r="X7" s="1487">
        <v>54</v>
      </c>
      <c r="Y7" s="1540">
        <v>459.5</v>
      </c>
      <c r="Z7" s="1520">
        <v>107.39</v>
      </c>
      <c r="AA7" s="1487">
        <v>27</v>
      </c>
      <c r="AB7" s="1487">
        <v>27</v>
      </c>
      <c r="AC7" s="1540">
        <v>173.2</v>
      </c>
      <c r="AD7" s="1520">
        <v>0.09</v>
      </c>
      <c r="AE7" s="1487">
        <v>20</v>
      </c>
      <c r="AF7" s="1487">
        <v>19</v>
      </c>
      <c r="AG7" s="1540">
        <v>1.46</v>
      </c>
      <c r="AH7" s="1520">
        <v>275.18</v>
      </c>
      <c r="AI7" s="1487">
        <v>116</v>
      </c>
      <c r="AJ7" s="1487">
        <v>108</v>
      </c>
      <c r="AK7" s="1540">
        <v>674.18</v>
      </c>
      <c r="AL7" s="1520">
        <v>18</v>
      </c>
      <c r="AM7" s="1487">
        <v>36</v>
      </c>
      <c r="AN7" s="1487">
        <v>15</v>
      </c>
      <c r="AO7" s="1540">
        <v>53</v>
      </c>
      <c r="AP7" s="1520">
        <v>618.81</v>
      </c>
      <c r="AQ7" s="1487">
        <v>1416</v>
      </c>
      <c r="AR7" s="1487">
        <v>1418</v>
      </c>
      <c r="AS7" s="1540">
        <v>2725.93</v>
      </c>
      <c r="AT7" s="1520">
        <v>932.3</v>
      </c>
      <c r="AU7" s="1487">
        <v>842</v>
      </c>
      <c r="AV7" s="1487">
        <v>818</v>
      </c>
      <c r="AW7" s="1540">
        <v>3046.8</v>
      </c>
      <c r="AX7" s="1520">
        <v>3.86</v>
      </c>
      <c r="AY7" s="1487">
        <v>843</v>
      </c>
      <c r="AZ7" s="1487">
        <v>789</v>
      </c>
      <c r="BA7" s="1540">
        <v>11.24</v>
      </c>
      <c r="BB7" s="1520">
        <v>65.9</v>
      </c>
      <c r="BC7" s="1487">
        <v>133</v>
      </c>
      <c r="BD7" s="1487">
        <v>133</v>
      </c>
      <c r="BE7" s="1540">
        <v>14368792</v>
      </c>
      <c r="BF7" s="1520">
        <v>46.33</v>
      </c>
      <c r="BG7" s="1487">
        <v>135</v>
      </c>
      <c r="BH7" s="1487">
        <v>135</v>
      </c>
      <c r="BI7" s="1540">
        <v>3846.92</v>
      </c>
      <c r="BJ7" s="1520">
        <v>252.67</v>
      </c>
      <c r="BK7" s="1487">
        <v>2</v>
      </c>
      <c r="BL7" s="1487">
        <v>1</v>
      </c>
      <c r="BM7" s="1540">
        <v>643.88</v>
      </c>
      <c r="BN7" s="1520">
        <v>166</v>
      </c>
      <c r="BO7" s="1487">
        <v>18</v>
      </c>
      <c r="BP7" s="1487">
        <v>18</v>
      </c>
      <c r="BQ7" s="1540">
        <v>187</v>
      </c>
      <c r="BR7" s="1520">
        <v>5</v>
      </c>
      <c r="BS7" s="1487">
        <v>7</v>
      </c>
      <c r="BT7" s="1487">
        <v>7</v>
      </c>
      <c r="BU7" s="1540">
        <v>5</v>
      </c>
      <c r="BV7" s="1520"/>
      <c r="BW7" s="1487"/>
      <c r="BX7" s="1487"/>
      <c r="BY7" s="1540"/>
      <c r="BZ7" s="1520">
        <v>18</v>
      </c>
      <c r="CA7" s="1487">
        <v>3901</v>
      </c>
      <c r="CB7" s="1487">
        <v>3901</v>
      </c>
      <c r="CC7" s="1540">
        <v>186</v>
      </c>
      <c r="CD7" s="1520">
        <v>176.57</v>
      </c>
      <c r="CE7" s="1487">
        <v>378</v>
      </c>
      <c r="CF7" s="1487">
        <v>335</v>
      </c>
      <c r="CG7" s="1540">
        <v>600</v>
      </c>
      <c r="CH7" s="1520">
        <v>0.94</v>
      </c>
      <c r="CI7" s="1487">
        <v>1</v>
      </c>
      <c r="CJ7" s="1487">
        <v>1</v>
      </c>
      <c r="CK7" s="1540">
        <v>50</v>
      </c>
      <c r="CL7" s="1520">
        <v>18</v>
      </c>
      <c r="CM7" s="1487"/>
      <c r="CN7" s="1487"/>
      <c r="CO7" s="1540"/>
      <c r="CP7" s="1520"/>
      <c r="CQ7" s="1487"/>
      <c r="CR7" s="1487"/>
      <c r="CS7" s="1540"/>
    </row>
    <row r="8" spans="1:97" ht="16.5">
      <c r="A8" s="1486" t="s">
        <v>505</v>
      </c>
      <c r="B8" s="1512">
        <v>1061</v>
      </c>
      <c r="C8" s="1538">
        <v>156</v>
      </c>
      <c r="D8" s="1539">
        <v>156</v>
      </c>
      <c r="E8" s="1540">
        <v>1981</v>
      </c>
      <c r="F8" s="1522">
        <v>10</v>
      </c>
      <c r="G8" s="1487">
        <v>1</v>
      </c>
      <c r="H8" s="1487">
        <v>1</v>
      </c>
      <c r="I8" s="1540">
        <v>7</v>
      </c>
      <c r="J8" s="1520"/>
      <c r="K8" s="1487"/>
      <c r="L8" s="1487"/>
      <c r="M8" s="1540"/>
      <c r="N8" s="1520">
        <v>79</v>
      </c>
      <c r="O8" s="1487">
        <v>6</v>
      </c>
      <c r="P8" s="1487">
        <v>4</v>
      </c>
      <c r="Q8" s="1521">
        <v>119</v>
      </c>
      <c r="R8" s="1522">
        <v>1.13</v>
      </c>
      <c r="S8" s="1487">
        <v>18</v>
      </c>
      <c r="T8" s="1487">
        <v>15</v>
      </c>
      <c r="U8" s="1540">
        <v>4.95</v>
      </c>
      <c r="V8" s="1520">
        <v>59.5</v>
      </c>
      <c r="W8" s="1487">
        <v>9</v>
      </c>
      <c r="X8" s="1487">
        <v>9</v>
      </c>
      <c r="Y8" s="1540">
        <v>197</v>
      </c>
      <c r="Z8" s="1520">
        <v>38.15</v>
      </c>
      <c r="AA8" s="1487">
        <v>6</v>
      </c>
      <c r="AB8" s="1487">
        <v>6</v>
      </c>
      <c r="AC8" s="1540">
        <v>47.68</v>
      </c>
      <c r="AD8" s="1520">
        <v>0.1</v>
      </c>
      <c r="AE8" s="1487">
        <v>14</v>
      </c>
      <c r="AF8" s="1487">
        <v>11</v>
      </c>
      <c r="AG8" s="1540">
        <v>0.81</v>
      </c>
      <c r="AH8" s="1520">
        <v>43.65</v>
      </c>
      <c r="AI8" s="1487">
        <v>71</v>
      </c>
      <c r="AJ8" s="1487">
        <v>69</v>
      </c>
      <c r="AK8" s="1540">
        <v>929.47</v>
      </c>
      <c r="AL8" s="1520">
        <v>8</v>
      </c>
      <c r="AM8" s="1487">
        <v>12</v>
      </c>
      <c r="AN8" s="1487">
        <v>5</v>
      </c>
      <c r="AO8" s="1540">
        <v>16</v>
      </c>
      <c r="AP8" s="1520">
        <v>229.31</v>
      </c>
      <c r="AQ8" s="1487">
        <v>354</v>
      </c>
      <c r="AR8" s="1487">
        <f>AQ8</f>
        <v>354</v>
      </c>
      <c r="AS8" s="1540">
        <v>3148.14</v>
      </c>
      <c r="AT8" s="1520">
        <v>414.5</v>
      </c>
      <c r="AU8" s="1487">
        <v>339</v>
      </c>
      <c r="AV8" s="1487">
        <v>335</v>
      </c>
      <c r="AW8" s="1540">
        <v>1653.1</v>
      </c>
      <c r="AX8" s="1520">
        <v>0.79</v>
      </c>
      <c r="AY8" s="1487">
        <v>124</v>
      </c>
      <c r="AZ8" s="1487">
        <v>120</v>
      </c>
      <c r="BA8" s="1540">
        <v>2.66</v>
      </c>
      <c r="BB8" s="1520">
        <v>14.53</v>
      </c>
      <c r="BC8" s="1487">
        <v>21</v>
      </c>
      <c r="BD8" s="1487">
        <v>21</v>
      </c>
      <c r="BE8" s="1540">
        <v>6686928</v>
      </c>
      <c r="BF8" s="1520">
        <v>29.35</v>
      </c>
      <c r="BG8" s="1487">
        <v>50</v>
      </c>
      <c r="BH8" s="1487">
        <v>50</v>
      </c>
      <c r="BI8" s="1540">
        <v>2132.46</v>
      </c>
      <c r="BJ8" s="1520">
        <v>93.53</v>
      </c>
      <c r="BK8" s="1487"/>
      <c r="BL8" s="1487"/>
      <c r="BM8" s="1540">
        <v>254.14</v>
      </c>
      <c r="BN8" s="1520">
        <v>13</v>
      </c>
      <c r="BO8" s="1487">
        <v>2</v>
      </c>
      <c r="BP8" s="1487">
        <v>2</v>
      </c>
      <c r="BQ8" s="1540">
        <v>6</v>
      </c>
      <c r="BR8" s="1520">
        <v>36</v>
      </c>
      <c r="BS8" s="1487">
        <v>52</v>
      </c>
      <c r="BT8" s="1487">
        <v>51</v>
      </c>
      <c r="BU8" s="1540">
        <v>89</v>
      </c>
      <c r="BV8" s="1520"/>
      <c r="BW8" s="1487"/>
      <c r="BX8" s="1487"/>
      <c r="BY8" s="1540"/>
      <c r="BZ8" s="1520">
        <v>13</v>
      </c>
      <c r="CA8" s="1487">
        <v>1845</v>
      </c>
      <c r="CB8" s="1487">
        <v>1845</v>
      </c>
      <c r="CC8" s="1540">
        <v>87</v>
      </c>
      <c r="CD8" s="1520">
        <v>41.66</v>
      </c>
      <c r="CE8" s="1487">
        <v>66</v>
      </c>
      <c r="CF8" s="1487">
        <v>61</v>
      </c>
      <c r="CG8" s="1540">
        <v>56.14</v>
      </c>
      <c r="CH8" s="1520">
        <v>0.65</v>
      </c>
      <c r="CI8" s="1487">
        <v>1</v>
      </c>
      <c r="CJ8" s="1487">
        <v>1</v>
      </c>
      <c r="CK8" s="1540">
        <v>55</v>
      </c>
      <c r="CL8" s="1520">
        <v>3</v>
      </c>
      <c r="CM8" s="1487"/>
      <c r="CN8" s="1487"/>
      <c r="CO8" s="1540"/>
      <c r="CP8" s="1520"/>
      <c r="CQ8" s="1487"/>
      <c r="CR8" s="1487"/>
      <c r="CS8" s="1540"/>
    </row>
    <row r="9" spans="1:97" ht="16.5">
      <c r="A9" s="1486" t="s">
        <v>506</v>
      </c>
      <c r="B9" s="1513">
        <v>948</v>
      </c>
      <c r="C9" s="1538">
        <v>93</v>
      </c>
      <c r="D9" s="1539">
        <v>93</v>
      </c>
      <c r="E9" s="1540">
        <v>1768</v>
      </c>
      <c r="F9" s="1522">
        <v>18</v>
      </c>
      <c r="G9" s="1487">
        <v>2</v>
      </c>
      <c r="H9" s="1487">
        <v>2</v>
      </c>
      <c r="I9" s="1540">
        <v>208</v>
      </c>
      <c r="J9" s="1520"/>
      <c r="K9" s="1487"/>
      <c r="L9" s="1487"/>
      <c r="M9" s="1540"/>
      <c r="N9" s="1520">
        <v>163</v>
      </c>
      <c r="O9" s="1487">
        <v>14</v>
      </c>
      <c r="P9" s="1487">
        <v>6</v>
      </c>
      <c r="Q9" s="1521">
        <v>608</v>
      </c>
      <c r="R9" s="1522">
        <v>2.77</v>
      </c>
      <c r="S9" s="1487">
        <v>29</v>
      </c>
      <c r="T9" s="1487">
        <v>23</v>
      </c>
      <c r="U9" s="1540">
        <v>23.06</v>
      </c>
      <c r="V9" s="1520">
        <v>113</v>
      </c>
      <c r="W9" s="1487">
        <v>11</v>
      </c>
      <c r="X9" s="1487">
        <v>10</v>
      </c>
      <c r="Y9" s="1540">
        <v>277.5</v>
      </c>
      <c r="Z9" s="1520">
        <v>85.04</v>
      </c>
      <c r="AA9" s="1487">
        <v>9</v>
      </c>
      <c r="AB9" s="1487">
        <v>9</v>
      </c>
      <c r="AC9" s="1540">
        <v>103.31</v>
      </c>
      <c r="AD9" s="1520">
        <v>0.57</v>
      </c>
      <c r="AE9" s="1487">
        <v>58</v>
      </c>
      <c r="AF9" s="1487">
        <v>44</v>
      </c>
      <c r="AG9" s="1540">
        <v>2.14</v>
      </c>
      <c r="AH9" s="1520">
        <v>480.25</v>
      </c>
      <c r="AI9" s="1487">
        <v>480</v>
      </c>
      <c r="AJ9" s="1487">
        <v>466</v>
      </c>
      <c r="AK9" s="1540">
        <v>3012.79</v>
      </c>
      <c r="AL9" s="1520">
        <v>42</v>
      </c>
      <c r="AM9" s="1487">
        <v>44</v>
      </c>
      <c r="AN9" s="1487">
        <v>16</v>
      </c>
      <c r="AO9" s="1540">
        <v>110</v>
      </c>
      <c r="AP9" s="1520">
        <v>703.67</v>
      </c>
      <c r="AQ9" s="1487">
        <v>720</v>
      </c>
      <c r="AR9" s="1487">
        <v>722</v>
      </c>
      <c r="AS9" s="1540">
        <v>2887.25</v>
      </c>
      <c r="AT9" s="1520">
        <v>1143.2</v>
      </c>
      <c r="AU9" s="1487">
        <v>991</v>
      </c>
      <c r="AV9" s="1487">
        <v>979</v>
      </c>
      <c r="AW9" s="1540">
        <v>6196.4</v>
      </c>
      <c r="AX9" s="1520">
        <v>8.64</v>
      </c>
      <c r="AY9" s="1487">
        <v>869</v>
      </c>
      <c r="AZ9" s="1487">
        <v>834</v>
      </c>
      <c r="BA9" s="1540">
        <v>21.14</v>
      </c>
      <c r="BB9" s="1520">
        <v>143.7</v>
      </c>
      <c r="BC9" s="1487">
        <v>145</v>
      </c>
      <c r="BD9" s="1487">
        <v>145</v>
      </c>
      <c r="BE9" s="1540">
        <v>25696104</v>
      </c>
      <c r="BF9" s="1520">
        <v>451.73</v>
      </c>
      <c r="BG9" s="1487">
        <v>454</v>
      </c>
      <c r="BH9" s="1487">
        <v>436</v>
      </c>
      <c r="BI9" s="1540">
        <v>2095.55</v>
      </c>
      <c r="BJ9" s="1520">
        <v>89.31</v>
      </c>
      <c r="BK9" s="1487">
        <v>126</v>
      </c>
      <c r="BL9" s="1487">
        <v>125</v>
      </c>
      <c r="BM9" s="1540">
        <v>215.93</v>
      </c>
      <c r="BN9" s="1520">
        <v>95</v>
      </c>
      <c r="BO9" s="1487">
        <v>6</v>
      </c>
      <c r="BP9" s="1487">
        <v>6</v>
      </c>
      <c r="BQ9" s="1540">
        <v>52</v>
      </c>
      <c r="BR9" s="1520">
        <v>181</v>
      </c>
      <c r="BS9" s="1487">
        <v>186</v>
      </c>
      <c r="BT9" s="1487">
        <v>170</v>
      </c>
      <c r="BU9" s="1540">
        <v>447</v>
      </c>
      <c r="BV9" s="1520"/>
      <c r="BW9" s="1487"/>
      <c r="BX9" s="1487"/>
      <c r="BY9" s="1540"/>
      <c r="BZ9" s="1520">
        <v>42</v>
      </c>
      <c r="CA9" s="1487">
        <v>4215</v>
      </c>
      <c r="CB9" s="1487">
        <v>4215</v>
      </c>
      <c r="CC9" s="1540">
        <v>96</v>
      </c>
      <c r="CD9" s="1520">
        <v>475.16</v>
      </c>
      <c r="CE9" s="1487">
        <v>478</v>
      </c>
      <c r="CF9" s="1487">
        <v>425</v>
      </c>
      <c r="CG9" s="1540">
        <v>1073.09</v>
      </c>
      <c r="CH9" s="1520">
        <v>580</v>
      </c>
      <c r="CI9" s="1487">
        <v>580</v>
      </c>
      <c r="CJ9" s="1487">
        <v>580</v>
      </c>
      <c r="CK9" s="1540">
        <v>961.35</v>
      </c>
      <c r="CL9" s="1520">
        <v>66</v>
      </c>
      <c r="CM9" s="1487">
        <v>58</v>
      </c>
      <c r="CN9" s="1487">
        <v>55</v>
      </c>
      <c r="CO9" s="1540">
        <v>121</v>
      </c>
      <c r="CP9" s="1520"/>
      <c r="CQ9" s="1487"/>
      <c r="CR9" s="1487"/>
      <c r="CS9" s="1540"/>
    </row>
    <row r="10" spans="1:97" ht="16.5">
      <c r="A10" s="1486" t="s">
        <v>507</v>
      </c>
      <c r="B10" s="1512">
        <v>545</v>
      </c>
      <c r="C10" s="1538">
        <v>43</v>
      </c>
      <c r="D10" s="1539">
        <v>43</v>
      </c>
      <c r="E10" s="1540">
        <v>1017</v>
      </c>
      <c r="F10" s="1522"/>
      <c r="G10" s="1487"/>
      <c r="H10" s="1487"/>
      <c r="I10" s="1540"/>
      <c r="J10" s="1520"/>
      <c r="K10" s="1487"/>
      <c r="L10" s="1487"/>
      <c r="M10" s="1540"/>
      <c r="N10" s="1520">
        <v>20</v>
      </c>
      <c r="O10" s="1487"/>
      <c r="P10" s="1487"/>
      <c r="Q10" s="1521">
        <v>13</v>
      </c>
      <c r="R10" s="1522">
        <v>0.85</v>
      </c>
      <c r="S10" s="1487">
        <v>7</v>
      </c>
      <c r="T10" s="1487">
        <v>7</v>
      </c>
      <c r="U10" s="1540">
        <v>6.4</v>
      </c>
      <c r="V10" s="1520">
        <v>22.3</v>
      </c>
      <c r="W10" s="1487">
        <v>2</v>
      </c>
      <c r="X10" s="1487">
        <v>2</v>
      </c>
      <c r="Y10" s="1540">
        <v>27.9</v>
      </c>
      <c r="Z10" s="1520">
        <v>47.04</v>
      </c>
      <c r="AA10" s="1487">
        <v>4</v>
      </c>
      <c r="AB10" s="1487">
        <v>3</v>
      </c>
      <c r="AC10" s="1540">
        <v>58.8</v>
      </c>
      <c r="AD10" s="1520">
        <v>0.03</v>
      </c>
      <c r="AE10" s="1487">
        <v>3</v>
      </c>
      <c r="AF10" s="1487">
        <v>3</v>
      </c>
      <c r="AG10" s="1540">
        <v>0.17</v>
      </c>
      <c r="AH10" s="1520">
        <v>87.76</v>
      </c>
      <c r="AI10" s="1487">
        <v>76</v>
      </c>
      <c r="AJ10" s="1487">
        <v>76</v>
      </c>
      <c r="AK10" s="1540">
        <v>906.31</v>
      </c>
      <c r="AL10" s="1520">
        <v>2</v>
      </c>
      <c r="AM10" s="1487">
        <v>3</v>
      </c>
      <c r="AN10" s="1487">
        <v>2</v>
      </c>
      <c r="AO10" s="1540">
        <v>6</v>
      </c>
      <c r="AP10" s="1520">
        <v>157.04</v>
      </c>
      <c r="AQ10" s="1487">
        <v>136</v>
      </c>
      <c r="AR10" s="1487">
        <v>138</v>
      </c>
      <c r="AS10" s="1540">
        <v>2332.91</v>
      </c>
      <c r="AT10" s="1520">
        <v>296.8</v>
      </c>
      <c r="AU10" s="1487">
        <v>193</v>
      </c>
      <c r="AV10" s="1487">
        <v>188</v>
      </c>
      <c r="AW10" s="1540">
        <v>1707.3</v>
      </c>
      <c r="AX10" s="1520">
        <v>0.63</v>
      </c>
      <c r="AY10" s="1487">
        <v>52</v>
      </c>
      <c r="AZ10" s="1487">
        <v>50</v>
      </c>
      <c r="BA10" s="1540">
        <v>1.62</v>
      </c>
      <c r="BB10" s="1520">
        <v>25.62</v>
      </c>
      <c r="BC10" s="1487">
        <v>23</v>
      </c>
      <c r="BD10" s="1487">
        <v>23</v>
      </c>
      <c r="BE10" s="1540">
        <v>8815355</v>
      </c>
      <c r="BF10" s="1520">
        <v>84.8</v>
      </c>
      <c r="BG10" s="1487">
        <v>74</v>
      </c>
      <c r="BH10" s="1487">
        <v>72</v>
      </c>
      <c r="BI10" s="1540">
        <v>1123.72</v>
      </c>
      <c r="BJ10" s="1520">
        <v>34.56</v>
      </c>
      <c r="BK10" s="1487">
        <v>35</v>
      </c>
      <c r="BL10" s="1487">
        <v>35</v>
      </c>
      <c r="BM10" s="1540">
        <v>96.15</v>
      </c>
      <c r="BN10" s="1520">
        <v>12</v>
      </c>
      <c r="BO10" s="1487"/>
      <c r="BP10" s="1487"/>
      <c r="BQ10" s="1540"/>
      <c r="BR10" s="1520">
        <v>11</v>
      </c>
      <c r="BS10" s="1487">
        <v>9</v>
      </c>
      <c r="BT10" s="1487">
        <v>9</v>
      </c>
      <c r="BU10" s="1540">
        <v>25</v>
      </c>
      <c r="BV10" s="1520"/>
      <c r="BW10" s="1487"/>
      <c r="BX10" s="1487"/>
      <c r="BY10" s="1540"/>
      <c r="BZ10" s="1520">
        <v>7</v>
      </c>
      <c r="CA10" s="1487">
        <v>588</v>
      </c>
      <c r="CB10" s="1487">
        <v>588</v>
      </c>
      <c r="CC10" s="1540">
        <v>45</v>
      </c>
      <c r="CD10" s="1520">
        <v>109.41</v>
      </c>
      <c r="CE10" s="1487">
        <v>93</v>
      </c>
      <c r="CF10" s="1487">
        <v>83</v>
      </c>
      <c r="CG10" s="1540">
        <v>172.04</v>
      </c>
      <c r="CH10" s="1520">
        <v>33.9</v>
      </c>
      <c r="CI10" s="1487">
        <v>29</v>
      </c>
      <c r="CJ10" s="1487">
        <v>29</v>
      </c>
      <c r="CK10" s="1540">
        <v>54.51</v>
      </c>
      <c r="CL10" s="1520">
        <v>16</v>
      </c>
      <c r="CM10" s="1487">
        <v>7</v>
      </c>
      <c r="CN10" s="1487">
        <v>7</v>
      </c>
      <c r="CO10" s="1540">
        <v>59</v>
      </c>
      <c r="CP10" s="1520"/>
      <c r="CQ10" s="1487"/>
      <c r="CR10" s="1487"/>
      <c r="CS10" s="1540"/>
    </row>
    <row r="11" spans="1:97" ht="16.5">
      <c r="A11" s="1486" t="s">
        <v>508</v>
      </c>
      <c r="B11" s="1513">
        <v>3757</v>
      </c>
      <c r="C11" s="1538">
        <v>98</v>
      </c>
      <c r="D11" s="1539">
        <v>98</v>
      </c>
      <c r="E11" s="1540">
        <v>7010</v>
      </c>
      <c r="F11" s="1522">
        <v>83</v>
      </c>
      <c r="G11" s="1487">
        <v>3</v>
      </c>
      <c r="H11" s="1487">
        <v>3</v>
      </c>
      <c r="I11" s="1540">
        <v>1150</v>
      </c>
      <c r="J11" s="1520"/>
      <c r="K11" s="1487"/>
      <c r="L11" s="1487"/>
      <c r="M11" s="1540"/>
      <c r="N11" s="1520">
        <v>289</v>
      </c>
      <c r="O11" s="1487">
        <v>3</v>
      </c>
      <c r="P11" s="1487">
        <v>2</v>
      </c>
      <c r="Q11" s="1521">
        <v>2183</v>
      </c>
      <c r="R11" s="1522">
        <v>34.77</v>
      </c>
      <c r="S11" s="1487">
        <v>93</v>
      </c>
      <c r="T11" s="1487">
        <v>74</v>
      </c>
      <c r="U11" s="1540">
        <v>307.71</v>
      </c>
      <c r="V11" s="1520">
        <v>484</v>
      </c>
      <c r="W11" s="1487">
        <v>15</v>
      </c>
      <c r="X11" s="1487">
        <v>14</v>
      </c>
      <c r="Y11" s="1540">
        <v>1147.5</v>
      </c>
      <c r="Z11" s="1520">
        <v>333.48</v>
      </c>
      <c r="AA11" s="1487">
        <v>7</v>
      </c>
      <c r="AB11" s="1487">
        <v>7</v>
      </c>
      <c r="AC11" s="1540">
        <v>1860.6</v>
      </c>
      <c r="AD11" s="1520">
        <v>3.45</v>
      </c>
      <c r="AE11" s="1487">
        <v>90</v>
      </c>
      <c r="AF11" s="1487">
        <v>67</v>
      </c>
      <c r="AG11" s="1540">
        <v>10.49</v>
      </c>
      <c r="AH11" s="1520">
        <v>5098.24</v>
      </c>
      <c r="AI11" s="1487">
        <v>1036</v>
      </c>
      <c r="AJ11" s="1487">
        <v>946</v>
      </c>
      <c r="AK11" s="1540">
        <v>21167.56</v>
      </c>
      <c r="AL11" s="1520">
        <v>247</v>
      </c>
      <c r="AM11" s="1487">
        <v>71</v>
      </c>
      <c r="AN11" s="1487">
        <v>34</v>
      </c>
      <c r="AO11" s="1540">
        <v>471</v>
      </c>
      <c r="AP11" s="1520">
        <v>24673.7</v>
      </c>
      <c r="AQ11" s="1487">
        <v>2172</v>
      </c>
      <c r="AR11" s="1487">
        <v>2408</v>
      </c>
      <c r="AS11" s="1540">
        <v>152817.7</v>
      </c>
      <c r="AT11" s="1520">
        <v>28498.6</v>
      </c>
      <c r="AU11" s="1487">
        <v>3476</v>
      </c>
      <c r="AV11" s="1487">
        <v>3438</v>
      </c>
      <c r="AW11" s="1540">
        <v>181574.1</v>
      </c>
      <c r="AX11" s="1520">
        <v>117.01</v>
      </c>
      <c r="AY11" s="1487">
        <v>2286</v>
      </c>
      <c r="AZ11" s="1487">
        <v>1884</v>
      </c>
      <c r="BA11" s="1540">
        <v>234</v>
      </c>
      <c r="BB11" s="1520">
        <v>1465.62</v>
      </c>
      <c r="BC11" s="1487">
        <v>253</v>
      </c>
      <c r="BD11" s="1487">
        <v>253</v>
      </c>
      <c r="BE11" s="1540">
        <v>216204438</v>
      </c>
      <c r="BF11" s="1520">
        <v>55637.85</v>
      </c>
      <c r="BG11" s="1487">
        <v>4326</v>
      </c>
      <c r="BH11" s="1487">
        <v>3910</v>
      </c>
      <c r="BI11" s="1540">
        <v>561605.9</v>
      </c>
      <c r="BJ11" s="1520">
        <v>145.25</v>
      </c>
      <c r="BK11" s="1487">
        <v>173</v>
      </c>
      <c r="BL11" s="1487">
        <v>153</v>
      </c>
      <c r="BM11" s="1540">
        <v>359</v>
      </c>
      <c r="BN11" s="1520">
        <v>176</v>
      </c>
      <c r="BO11" s="1487">
        <v>32</v>
      </c>
      <c r="BP11" s="1487">
        <v>32</v>
      </c>
      <c r="BQ11" s="1540">
        <v>280</v>
      </c>
      <c r="BR11" s="1520">
        <v>945</v>
      </c>
      <c r="BS11" s="1487">
        <v>268</v>
      </c>
      <c r="BT11" s="1487">
        <v>234</v>
      </c>
      <c r="BU11" s="1540">
        <v>1886</v>
      </c>
      <c r="BV11" s="1520"/>
      <c r="BW11" s="1487"/>
      <c r="BX11" s="1487"/>
      <c r="BY11" s="1540"/>
      <c r="BZ11" s="1520">
        <v>1553</v>
      </c>
      <c r="CA11" s="1487">
        <v>20667</v>
      </c>
      <c r="CB11" s="1487">
        <v>20667</v>
      </c>
      <c r="CC11" s="1540">
        <v>1072</v>
      </c>
      <c r="CD11" s="1520">
        <v>2687.85</v>
      </c>
      <c r="CE11" s="1487">
        <v>743</v>
      </c>
      <c r="CF11" s="1487">
        <v>627</v>
      </c>
      <c r="CG11" s="1540">
        <v>4178.88</v>
      </c>
      <c r="CH11" s="1520">
        <v>3195.22</v>
      </c>
      <c r="CI11" s="1487">
        <v>754</v>
      </c>
      <c r="CJ11" s="1487">
        <v>754</v>
      </c>
      <c r="CK11" s="1540">
        <v>5083.98</v>
      </c>
      <c r="CL11" s="1520">
        <v>13246</v>
      </c>
      <c r="CM11" s="1487">
        <v>607</v>
      </c>
      <c r="CN11" s="1487">
        <v>935</v>
      </c>
      <c r="CO11" s="1540">
        <v>139823</v>
      </c>
      <c r="CP11" s="1520"/>
      <c r="CQ11" s="1487"/>
      <c r="CR11" s="1487"/>
      <c r="CS11" s="1540"/>
    </row>
    <row r="12" spans="1:97" ht="16.5">
      <c r="A12" s="1485" t="s">
        <v>509</v>
      </c>
      <c r="B12" s="1522"/>
      <c r="C12" s="1487"/>
      <c r="D12" s="1487"/>
      <c r="E12" s="1540"/>
      <c r="F12" s="1522"/>
      <c r="G12" s="1487"/>
      <c r="H12" s="1487"/>
      <c r="I12" s="1540"/>
      <c r="J12" s="1520"/>
      <c r="K12" s="1487"/>
      <c r="L12" s="1487"/>
      <c r="M12" s="1540"/>
      <c r="N12" s="1520"/>
      <c r="O12" s="1487"/>
      <c r="P12" s="1487"/>
      <c r="Q12" s="1521"/>
      <c r="R12" s="1522"/>
      <c r="S12" s="1487"/>
      <c r="T12" s="1487"/>
      <c r="U12" s="1540"/>
      <c r="V12" s="1520"/>
      <c r="W12" s="1487"/>
      <c r="X12" s="1487"/>
      <c r="Y12" s="1540"/>
      <c r="Z12" s="1520"/>
      <c r="AA12" s="1487"/>
      <c r="AB12" s="1487"/>
      <c r="AC12" s="1540"/>
      <c r="AD12" s="1520"/>
      <c r="AE12" s="1487"/>
      <c r="AF12" s="1487"/>
      <c r="AG12" s="1540"/>
      <c r="AH12" s="1520"/>
      <c r="AI12" s="1487"/>
      <c r="AJ12" s="1487"/>
      <c r="AK12" s="1540"/>
      <c r="AL12" s="1520"/>
      <c r="AM12" s="1487"/>
      <c r="AN12" s="1487"/>
      <c r="AO12" s="1540"/>
      <c r="AP12" s="1520"/>
      <c r="AQ12" s="1487"/>
      <c r="AR12" s="1487"/>
      <c r="AS12" s="1540"/>
      <c r="AT12" s="1520"/>
      <c r="AU12" s="1487"/>
      <c r="AV12" s="1487"/>
      <c r="AW12" s="1540"/>
      <c r="AX12" s="1520"/>
      <c r="AY12" s="1487"/>
      <c r="AZ12" s="1487"/>
      <c r="BA12" s="1540"/>
      <c r="BB12" s="1520"/>
      <c r="BC12" s="1487"/>
      <c r="BD12" s="1487"/>
      <c r="BE12" s="1540"/>
      <c r="BF12" s="1520"/>
      <c r="BG12" s="1487"/>
      <c r="BH12" s="1487"/>
      <c r="BI12" s="1540"/>
      <c r="BJ12" s="1520"/>
      <c r="BK12" s="1487"/>
      <c r="BL12" s="1487"/>
      <c r="BM12" s="1540"/>
      <c r="BN12" s="1520"/>
      <c r="BO12" s="1487"/>
      <c r="BP12" s="1487"/>
      <c r="BQ12" s="1540"/>
      <c r="BR12" s="1520"/>
      <c r="BS12" s="1487"/>
      <c r="BT12" s="1487"/>
      <c r="BU12" s="1540"/>
      <c r="BV12" s="1520"/>
      <c r="BW12" s="1487"/>
      <c r="BX12" s="1487"/>
      <c r="BY12" s="1540"/>
      <c r="BZ12" s="1520"/>
      <c r="CA12" s="1487"/>
      <c r="CB12" s="1487"/>
      <c r="CC12" s="1540"/>
      <c r="CD12" s="1520"/>
      <c r="CE12" s="1487"/>
      <c r="CF12" s="1487"/>
      <c r="CG12" s="1540"/>
      <c r="CH12" s="1520"/>
      <c r="CI12" s="1487"/>
      <c r="CJ12" s="1487"/>
      <c r="CK12" s="1540"/>
      <c r="CL12" s="1520"/>
      <c r="CM12" s="1487"/>
      <c r="CN12" s="1487"/>
      <c r="CO12" s="1540"/>
      <c r="CP12" s="1520"/>
      <c r="CQ12" s="1487"/>
      <c r="CR12" s="1487"/>
      <c r="CS12" s="1540"/>
    </row>
    <row r="13" spans="1:97" ht="16.5">
      <c r="A13" s="1486" t="s">
        <v>510</v>
      </c>
      <c r="B13" s="1541"/>
      <c r="C13" s="1487"/>
      <c r="D13" s="1542"/>
      <c r="E13" s="1540"/>
      <c r="F13" s="1522"/>
      <c r="G13" s="1487"/>
      <c r="H13" s="1487"/>
      <c r="I13" s="1540"/>
      <c r="J13" s="1520"/>
      <c r="K13" s="1487"/>
      <c r="L13" s="1487"/>
      <c r="M13" s="1540"/>
      <c r="N13" s="1520">
        <v>227</v>
      </c>
      <c r="O13" s="1487">
        <v>65</v>
      </c>
      <c r="P13" s="1487">
        <v>53</v>
      </c>
      <c r="Q13" s="1521">
        <v>202</v>
      </c>
      <c r="R13" s="1522"/>
      <c r="S13" s="1487"/>
      <c r="T13" s="1487"/>
      <c r="U13" s="1540"/>
      <c r="V13" s="1520">
        <v>458.8</v>
      </c>
      <c r="W13" s="1520">
        <v>152</v>
      </c>
      <c r="X13" s="1487">
        <v>150</v>
      </c>
      <c r="Y13" s="1540">
        <v>458.8</v>
      </c>
      <c r="Z13" s="1520"/>
      <c r="AA13" s="1487"/>
      <c r="AB13" s="1487"/>
      <c r="AC13" s="1540"/>
      <c r="AD13" s="1520"/>
      <c r="AE13" s="1487"/>
      <c r="AF13" s="1487"/>
      <c r="AG13" s="1540"/>
      <c r="AH13" s="1520"/>
      <c r="AI13" s="1487"/>
      <c r="AJ13" s="1487"/>
      <c r="AK13" s="1540"/>
      <c r="AL13" s="1520">
        <v>10</v>
      </c>
      <c r="AM13" s="1487">
        <v>25</v>
      </c>
      <c r="AN13" s="1487">
        <v>24</v>
      </c>
      <c r="AO13" s="1540">
        <v>1</v>
      </c>
      <c r="AP13" s="1520">
        <v>260.56</v>
      </c>
      <c r="AQ13" s="1487">
        <v>742</v>
      </c>
      <c r="AR13" s="1487">
        <v>763</v>
      </c>
      <c r="AS13" s="1540">
        <v>16.71</v>
      </c>
      <c r="AT13" s="1520">
        <v>8310.6</v>
      </c>
      <c r="AU13" s="1487">
        <v>1523</v>
      </c>
      <c r="AV13" s="1487">
        <v>1524</v>
      </c>
      <c r="AW13" s="1540">
        <v>1442.6</v>
      </c>
      <c r="AX13" s="1520">
        <v>0</v>
      </c>
      <c r="AY13" s="1487">
        <v>0</v>
      </c>
      <c r="AZ13" s="1487">
        <v>0</v>
      </c>
      <c r="BA13" s="1540">
        <v>0</v>
      </c>
      <c r="BB13" s="1520">
        <v>0.78742</v>
      </c>
      <c r="BC13" s="1487"/>
      <c r="BD13" s="1487"/>
      <c r="BE13" s="1540"/>
      <c r="BF13" s="1520"/>
      <c r="BG13" s="1487"/>
      <c r="BH13" s="1487"/>
      <c r="BI13" s="1540"/>
      <c r="BJ13" s="1520">
        <v>1.55</v>
      </c>
      <c r="BK13" s="1487"/>
      <c r="BL13" s="1487"/>
      <c r="BM13" s="1540">
        <v>1.59</v>
      </c>
      <c r="BN13" s="1520">
        <v>410</v>
      </c>
      <c r="BO13" s="1487">
        <v>238</v>
      </c>
      <c r="BP13" s="1487">
        <v>226</v>
      </c>
      <c r="BQ13" s="1540">
        <v>28</v>
      </c>
      <c r="BR13" s="1520"/>
      <c r="BS13" s="1487"/>
      <c r="BT13" s="1487"/>
      <c r="BU13" s="1540"/>
      <c r="BV13" s="1520"/>
      <c r="BW13" s="1487"/>
      <c r="BX13" s="1487"/>
      <c r="BY13" s="1540"/>
      <c r="BZ13" s="1520"/>
      <c r="CA13" s="1487"/>
      <c r="CB13" s="1487"/>
      <c r="CC13" s="1540"/>
      <c r="CD13" s="1520"/>
      <c r="CE13" s="1487"/>
      <c r="CF13" s="1487"/>
      <c r="CG13" s="1540"/>
      <c r="CH13" s="1520"/>
      <c r="CI13" s="1487"/>
      <c r="CJ13" s="1487"/>
      <c r="CK13" s="1540"/>
      <c r="CL13" s="1520"/>
      <c r="CM13" s="1487"/>
      <c r="CN13" s="1487"/>
      <c r="CO13" s="1540"/>
      <c r="CP13" s="1520"/>
      <c r="CQ13" s="1487"/>
      <c r="CR13" s="1487"/>
      <c r="CS13" s="1540"/>
    </row>
    <row r="14" spans="1:97" ht="16.5">
      <c r="A14" s="1486" t="s">
        <v>511</v>
      </c>
      <c r="B14" s="1543"/>
      <c r="C14" s="1487"/>
      <c r="D14" s="1544"/>
      <c r="E14" s="1540"/>
      <c r="F14" s="1522"/>
      <c r="G14" s="1487"/>
      <c r="H14" s="1487"/>
      <c r="I14" s="1540"/>
      <c r="J14" s="1520"/>
      <c r="K14" s="1487"/>
      <c r="L14" s="1487"/>
      <c r="M14" s="1540"/>
      <c r="N14" s="1520">
        <v>203</v>
      </c>
      <c r="O14" s="1487">
        <v>30</v>
      </c>
      <c r="P14" s="1487">
        <v>21</v>
      </c>
      <c r="Q14" s="1521">
        <v>167</v>
      </c>
      <c r="R14" s="1522"/>
      <c r="S14" s="1487"/>
      <c r="T14" s="1487"/>
      <c r="U14" s="1540"/>
      <c r="V14" s="1520">
        <v>1001.2</v>
      </c>
      <c r="W14" s="1520">
        <v>111</v>
      </c>
      <c r="X14" s="1487">
        <v>105</v>
      </c>
      <c r="Y14" s="1540">
        <v>1001.2</v>
      </c>
      <c r="Z14" s="1520"/>
      <c r="AA14" s="1487"/>
      <c r="AB14" s="1487"/>
      <c r="AC14" s="1540"/>
      <c r="AD14" s="1520">
        <v>0.01</v>
      </c>
      <c r="AE14" s="1487">
        <v>1</v>
      </c>
      <c r="AF14" s="1487">
        <v>1</v>
      </c>
      <c r="AG14" s="1540">
        <v>0.01</v>
      </c>
      <c r="AH14" s="1520">
        <v>-7.64</v>
      </c>
      <c r="AI14" s="1487">
        <v>-10</v>
      </c>
      <c r="AJ14" s="1487">
        <f>AI14</f>
        <v>-10</v>
      </c>
      <c r="AK14" s="1540">
        <v>-0.38</v>
      </c>
      <c r="AL14" s="1520">
        <v>30</v>
      </c>
      <c r="AM14" s="1487">
        <v>39</v>
      </c>
      <c r="AN14" s="1487">
        <v>36</v>
      </c>
      <c r="AO14" s="1540">
        <v>2</v>
      </c>
      <c r="AP14" s="1520">
        <v>1423.14</v>
      </c>
      <c r="AQ14" s="1487">
        <v>1823</v>
      </c>
      <c r="AR14" s="1487">
        <v>1923</v>
      </c>
      <c r="AS14" s="1540">
        <v>92.16</v>
      </c>
      <c r="AT14" s="1520">
        <v>2065.7</v>
      </c>
      <c r="AU14" s="1487">
        <v>295</v>
      </c>
      <c r="AV14" s="1487">
        <v>313</v>
      </c>
      <c r="AW14" s="1540">
        <v>1131.8</v>
      </c>
      <c r="AX14" s="1520">
        <v>0</v>
      </c>
      <c r="AY14" s="1487">
        <v>0</v>
      </c>
      <c r="AZ14" s="1487">
        <v>0</v>
      </c>
      <c r="BA14" s="1540">
        <v>0</v>
      </c>
      <c r="BB14" s="1520">
        <v>1.20529</v>
      </c>
      <c r="BC14" s="1487">
        <v>1</v>
      </c>
      <c r="BD14" s="1487">
        <v>1</v>
      </c>
      <c r="BE14" s="1540">
        <v>0.78742</v>
      </c>
      <c r="BF14" s="1520">
        <v>1.97</v>
      </c>
      <c r="BG14" s="1520">
        <v>2</v>
      </c>
      <c r="BH14" s="1487">
        <v>2</v>
      </c>
      <c r="BI14" s="1540">
        <v>0.29</v>
      </c>
      <c r="BJ14" s="1520">
        <v>0.12</v>
      </c>
      <c r="BK14" s="1487">
        <v>2</v>
      </c>
      <c r="BL14" s="1487">
        <v>2</v>
      </c>
      <c r="BM14" s="1540">
        <v>0.04</v>
      </c>
      <c r="BN14" s="1520">
        <v>113</v>
      </c>
      <c r="BO14" s="1487">
        <v>6</v>
      </c>
      <c r="BP14" s="1487">
        <v>6</v>
      </c>
      <c r="BQ14" s="1540">
        <v>2</v>
      </c>
      <c r="BR14" s="1520">
        <v>155</v>
      </c>
      <c r="BS14" s="1487">
        <v>159</v>
      </c>
      <c r="BT14" s="1487">
        <v>145</v>
      </c>
      <c r="BU14" s="1540">
        <v>10</v>
      </c>
      <c r="BV14" s="1520"/>
      <c r="BW14" s="1487"/>
      <c r="BX14" s="1487"/>
      <c r="BY14" s="1540"/>
      <c r="BZ14" s="1520"/>
      <c r="CA14" s="1487"/>
      <c r="CB14" s="1487"/>
      <c r="CC14" s="1540"/>
      <c r="CD14" s="1520"/>
      <c r="CE14" s="1487"/>
      <c r="CF14" s="1487"/>
      <c r="CG14" s="1540"/>
      <c r="CH14" s="1520"/>
      <c r="CI14" s="1487"/>
      <c r="CJ14" s="1487"/>
      <c r="CK14" s="1540"/>
      <c r="CL14" s="1520">
        <v>8</v>
      </c>
      <c r="CM14" s="1487">
        <v>8</v>
      </c>
      <c r="CN14" s="1487">
        <v>8</v>
      </c>
      <c r="CO14" s="1540">
        <v>8</v>
      </c>
      <c r="CP14" s="1520"/>
      <c r="CQ14" s="1487"/>
      <c r="CR14" s="1487"/>
      <c r="CS14" s="1540"/>
    </row>
    <row r="15" spans="1:97" ht="16.5">
      <c r="A15" s="1486" t="s">
        <v>512</v>
      </c>
      <c r="B15" s="1541"/>
      <c r="C15" s="1487"/>
      <c r="D15" s="1542"/>
      <c r="E15" s="1540"/>
      <c r="F15" s="1522"/>
      <c r="G15" s="1487"/>
      <c r="H15" s="1487"/>
      <c r="I15" s="1540"/>
      <c r="J15" s="1520"/>
      <c r="K15" s="1487"/>
      <c r="L15" s="1487"/>
      <c r="M15" s="1540"/>
      <c r="N15" s="1520">
        <v>50</v>
      </c>
      <c r="O15" s="1487">
        <v>5</v>
      </c>
      <c r="P15" s="1487">
        <v>4</v>
      </c>
      <c r="Q15" s="1521">
        <v>60</v>
      </c>
      <c r="R15" s="1522"/>
      <c r="S15" s="1487"/>
      <c r="T15" s="1487"/>
      <c r="U15" s="1540"/>
      <c r="V15" s="1520">
        <v>612.2</v>
      </c>
      <c r="W15" s="1520">
        <v>46</v>
      </c>
      <c r="X15" s="1487">
        <v>44</v>
      </c>
      <c r="Y15" s="1540">
        <v>612.2</v>
      </c>
      <c r="Z15" s="1520"/>
      <c r="AA15" s="1487"/>
      <c r="AB15" s="1487"/>
      <c r="AC15" s="1540"/>
      <c r="AD15" s="1520"/>
      <c r="AE15" s="1487"/>
      <c r="AF15" s="1487"/>
      <c r="AG15" s="1540"/>
      <c r="AH15" s="1520">
        <v>-2.6</v>
      </c>
      <c r="AI15" s="1487">
        <v>-2</v>
      </c>
      <c r="AJ15" s="1487">
        <f>AI15</f>
        <v>-2</v>
      </c>
      <c r="AK15" s="1540">
        <v>-0.12</v>
      </c>
      <c r="AL15" s="1520">
        <v>28</v>
      </c>
      <c r="AM15" s="1487">
        <v>22</v>
      </c>
      <c r="AN15" s="1487">
        <v>22</v>
      </c>
      <c r="AO15" s="1540">
        <v>2</v>
      </c>
      <c r="AP15" s="1520">
        <v>3113.47</v>
      </c>
      <c r="AQ15" s="1487">
        <v>2522</v>
      </c>
      <c r="AR15" s="1487">
        <v>2647</v>
      </c>
      <c r="AS15" s="1540">
        <v>202.85</v>
      </c>
      <c r="AT15" s="1520">
        <v>1345.2</v>
      </c>
      <c r="AU15" s="1487">
        <v>383</v>
      </c>
      <c r="AV15" s="1487">
        <v>396</v>
      </c>
      <c r="AW15" s="1540">
        <v>1184.5</v>
      </c>
      <c r="AX15" s="1520">
        <v>0</v>
      </c>
      <c r="AY15" s="1487">
        <v>0</v>
      </c>
      <c r="AZ15" s="1487">
        <v>0</v>
      </c>
      <c r="BA15" s="1540">
        <v>0</v>
      </c>
      <c r="BB15" s="1520">
        <v>1.20529</v>
      </c>
      <c r="BC15" s="1487">
        <v>1</v>
      </c>
      <c r="BD15" s="1487">
        <v>1</v>
      </c>
      <c r="BE15" s="1540">
        <v>1.20529</v>
      </c>
      <c r="BF15" s="1520">
        <v>12.52</v>
      </c>
      <c r="BG15" s="1520">
        <v>9</v>
      </c>
      <c r="BH15" s="1487">
        <v>9</v>
      </c>
      <c r="BI15" s="1540">
        <v>1.24</v>
      </c>
      <c r="BJ15" s="1520">
        <v>0.3</v>
      </c>
      <c r="BK15" s="1487">
        <v>19</v>
      </c>
      <c r="BL15" s="1487">
        <v>18</v>
      </c>
      <c r="BM15" s="1540">
        <v>0.1</v>
      </c>
      <c r="BN15" s="1520">
        <v>27</v>
      </c>
      <c r="BO15" s="1487">
        <v>12</v>
      </c>
      <c r="BP15" s="1487">
        <v>8</v>
      </c>
      <c r="BQ15" s="1540">
        <v>1</v>
      </c>
      <c r="BR15" s="1520">
        <v>345</v>
      </c>
      <c r="BS15" s="1487">
        <v>289</v>
      </c>
      <c r="BT15" s="1487">
        <v>253</v>
      </c>
      <c r="BU15" s="1540">
        <v>21</v>
      </c>
      <c r="BV15" s="1520"/>
      <c r="BW15" s="1487"/>
      <c r="BX15" s="1487"/>
      <c r="BY15" s="1540"/>
      <c r="BZ15" s="1520"/>
      <c r="CA15" s="1487"/>
      <c r="CB15" s="1487"/>
      <c r="CC15" s="1540"/>
      <c r="CD15" s="1520"/>
      <c r="CE15" s="1487"/>
      <c r="CF15" s="1487"/>
      <c r="CG15" s="1540"/>
      <c r="CH15" s="1520">
        <v>7.23</v>
      </c>
      <c r="CI15" s="1487">
        <v>5</v>
      </c>
      <c r="CJ15" s="1487">
        <v>5</v>
      </c>
      <c r="CK15" s="1540">
        <v>0.6</v>
      </c>
      <c r="CL15" s="1520">
        <v>148</v>
      </c>
      <c r="CM15" s="1487">
        <v>112</v>
      </c>
      <c r="CN15" s="1487">
        <v>112</v>
      </c>
      <c r="CO15" s="1540">
        <v>148</v>
      </c>
      <c r="CP15" s="1520"/>
      <c r="CQ15" s="1487"/>
      <c r="CR15" s="1487"/>
      <c r="CS15" s="1540"/>
    </row>
    <row r="16" spans="1:97" ht="16.5">
      <c r="A16" s="1486" t="s">
        <v>513</v>
      </c>
      <c r="B16" s="1543"/>
      <c r="C16" s="1487"/>
      <c r="D16" s="1544"/>
      <c r="E16" s="1540"/>
      <c r="F16" s="1522"/>
      <c r="G16" s="1487"/>
      <c r="H16" s="1487"/>
      <c r="I16" s="1540"/>
      <c r="J16" s="1520"/>
      <c r="K16" s="1487"/>
      <c r="L16" s="1487"/>
      <c r="M16" s="1540"/>
      <c r="N16" s="1520">
        <v>55</v>
      </c>
      <c r="O16" s="1487">
        <v>3</v>
      </c>
      <c r="P16" s="1487">
        <v>2</v>
      </c>
      <c r="Q16" s="1521">
        <v>55</v>
      </c>
      <c r="R16" s="1522"/>
      <c r="S16" s="1487"/>
      <c r="T16" s="1487"/>
      <c r="U16" s="1540"/>
      <c r="V16" s="1520">
        <v>875.6</v>
      </c>
      <c r="W16" s="1520">
        <v>46</v>
      </c>
      <c r="X16" s="1487">
        <v>44</v>
      </c>
      <c r="Y16" s="1540">
        <v>875.6</v>
      </c>
      <c r="Z16" s="1520"/>
      <c r="AA16" s="1487"/>
      <c r="AB16" s="1487"/>
      <c r="AC16" s="1540"/>
      <c r="AD16" s="1520">
        <v>0.34</v>
      </c>
      <c r="AE16" s="1487">
        <v>17</v>
      </c>
      <c r="AF16" s="1487">
        <v>15</v>
      </c>
      <c r="AG16" s="1540">
        <v>0.34</v>
      </c>
      <c r="AH16" s="1520">
        <v>4</v>
      </c>
      <c r="AI16" s="1487">
        <v>2</v>
      </c>
      <c r="AJ16" s="1487">
        <f>AI16</f>
        <v>2</v>
      </c>
      <c r="AK16" s="1540">
        <v>0.24</v>
      </c>
      <c r="AL16" s="1520">
        <v>61</v>
      </c>
      <c r="AM16" s="1487">
        <v>37</v>
      </c>
      <c r="AN16" s="1487">
        <v>35</v>
      </c>
      <c r="AO16" s="1540">
        <v>4</v>
      </c>
      <c r="AP16" s="1520">
        <v>5285.13</v>
      </c>
      <c r="AQ16" s="1487">
        <v>2979</v>
      </c>
      <c r="AR16" s="1487">
        <v>3147</v>
      </c>
      <c r="AS16" s="1540">
        <v>350.37</v>
      </c>
      <c r="AT16" s="1520">
        <v>1532.5</v>
      </c>
      <c r="AU16" s="1487">
        <v>545</v>
      </c>
      <c r="AV16" s="1487">
        <v>605</v>
      </c>
      <c r="AW16" s="1540">
        <v>1368.5</v>
      </c>
      <c r="AX16" s="1520">
        <v>0.05</v>
      </c>
      <c r="AY16" s="1487">
        <v>3</v>
      </c>
      <c r="AZ16" s="1487">
        <v>3</v>
      </c>
      <c r="BA16" s="1540">
        <v>0.05</v>
      </c>
      <c r="BB16" s="1520"/>
      <c r="BC16" s="1487"/>
      <c r="BD16" s="1487"/>
      <c r="BE16" s="1540"/>
      <c r="BF16" s="1520">
        <v>346.49</v>
      </c>
      <c r="BG16" s="1520">
        <v>179</v>
      </c>
      <c r="BH16" s="1487">
        <v>164</v>
      </c>
      <c r="BI16" s="1540">
        <v>24.63</v>
      </c>
      <c r="BJ16" s="1520">
        <v>2.5</v>
      </c>
      <c r="BK16" s="1487">
        <v>128</v>
      </c>
      <c r="BL16" s="1487">
        <v>123</v>
      </c>
      <c r="BM16" s="1540">
        <v>0.36</v>
      </c>
      <c r="BN16" s="1520">
        <v>11</v>
      </c>
      <c r="BO16" s="1487">
        <v>4</v>
      </c>
      <c r="BP16" s="1487">
        <v>3</v>
      </c>
      <c r="BQ16" s="1540">
        <v>2</v>
      </c>
      <c r="BR16" s="1520">
        <v>246</v>
      </c>
      <c r="BS16" s="1487">
        <v>142</v>
      </c>
      <c r="BT16" s="1487">
        <v>117</v>
      </c>
      <c r="BU16" s="1540">
        <v>15</v>
      </c>
      <c r="BV16" s="1520"/>
      <c r="BW16" s="1487"/>
      <c r="BX16" s="1487"/>
      <c r="BY16" s="1540"/>
      <c r="BZ16" s="1520"/>
      <c r="CA16" s="1487"/>
      <c r="CB16" s="1487"/>
      <c r="CC16" s="1540"/>
      <c r="CD16" s="1520"/>
      <c r="CE16" s="1487"/>
      <c r="CF16" s="1487"/>
      <c r="CG16" s="1540"/>
      <c r="CH16" s="1520">
        <v>184.82</v>
      </c>
      <c r="CI16" s="1487">
        <v>93</v>
      </c>
      <c r="CJ16" s="1487">
        <v>93</v>
      </c>
      <c r="CK16" s="1540">
        <v>5.63</v>
      </c>
      <c r="CL16" s="1520">
        <v>516</v>
      </c>
      <c r="CM16" s="1487">
        <v>278</v>
      </c>
      <c r="CN16" s="1487">
        <v>289</v>
      </c>
      <c r="CO16" s="1540">
        <v>514</v>
      </c>
      <c r="CP16" s="1520"/>
      <c r="CQ16" s="1487"/>
      <c r="CR16" s="1487"/>
      <c r="CS16" s="1540"/>
    </row>
    <row r="17" spans="1:97" ht="16.5">
      <c r="A17" s="1486" t="s">
        <v>514</v>
      </c>
      <c r="B17" s="1543"/>
      <c r="C17" s="1487"/>
      <c r="D17" s="1544"/>
      <c r="E17" s="1540"/>
      <c r="F17" s="1522"/>
      <c r="G17" s="1487"/>
      <c r="H17" s="1487"/>
      <c r="I17" s="1540"/>
      <c r="J17" s="1520"/>
      <c r="K17" s="1487"/>
      <c r="L17" s="1487"/>
      <c r="M17" s="1540"/>
      <c r="N17" s="1520">
        <v>43</v>
      </c>
      <c r="O17" s="1487">
        <v>2</v>
      </c>
      <c r="P17" s="1487">
        <v>2</v>
      </c>
      <c r="Q17" s="1521">
        <v>22</v>
      </c>
      <c r="R17" s="1522"/>
      <c r="S17" s="1487"/>
      <c r="T17" s="1487"/>
      <c r="U17" s="1540"/>
      <c r="V17" s="1520">
        <v>750.2</v>
      </c>
      <c r="W17" s="1520">
        <v>31</v>
      </c>
      <c r="X17" s="1487">
        <v>28</v>
      </c>
      <c r="Y17" s="1540">
        <v>750.2</v>
      </c>
      <c r="Z17" s="1520"/>
      <c r="AA17" s="1487"/>
      <c r="AB17" s="1487"/>
      <c r="AC17" s="1540"/>
      <c r="AD17" s="1520">
        <v>0.15</v>
      </c>
      <c r="AE17" s="1487">
        <v>6</v>
      </c>
      <c r="AF17" s="1487">
        <v>5</v>
      </c>
      <c r="AG17" s="1540">
        <v>0.15</v>
      </c>
      <c r="AH17" s="1520">
        <v>191.44</v>
      </c>
      <c r="AI17" s="1487">
        <v>85</v>
      </c>
      <c r="AJ17" s="1487">
        <v>81</v>
      </c>
      <c r="AK17" s="1540">
        <v>11.77</v>
      </c>
      <c r="AL17" s="1520">
        <v>26</v>
      </c>
      <c r="AM17" s="1487">
        <v>12</v>
      </c>
      <c r="AN17" s="1487">
        <v>11</v>
      </c>
      <c r="AO17" s="1540">
        <v>2</v>
      </c>
      <c r="AP17" s="1520">
        <v>6521.14</v>
      </c>
      <c r="AQ17" s="1487">
        <v>2891</v>
      </c>
      <c r="AR17" s="1487">
        <v>3155</v>
      </c>
      <c r="AS17" s="1540">
        <v>434.47</v>
      </c>
      <c r="AT17" s="1520">
        <v>3729.5</v>
      </c>
      <c r="AU17" s="1487">
        <v>1476</v>
      </c>
      <c r="AV17" s="1487">
        <v>1786</v>
      </c>
      <c r="AW17" s="1540">
        <v>3335.5</v>
      </c>
      <c r="AX17" s="1520">
        <v>0.39</v>
      </c>
      <c r="AY17" s="1487">
        <v>18</v>
      </c>
      <c r="AZ17" s="1487">
        <v>18</v>
      </c>
      <c r="BA17" s="1540">
        <v>0.39</v>
      </c>
      <c r="BB17" s="1520"/>
      <c r="BC17" s="1487"/>
      <c r="BD17" s="1487"/>
      <c r="BE17" s="1540"/>
      <c r="BF17" s="1520">
        <v>706.57</v>
      </c>
      <c r="BG17" s="1520">
        <v>305</v>
      </c>
      <c r="BH17" s="1487">
        <v>280</v>
      </c>
      <c r="BI17" s="1540">
        <v>46.46</v>
      </c>
      <c r="BJ17" s="1520">
        <v>6.81</v>
      </c>
      <c r="BK17" s="1487">
        <v>300</v>
      </c>
      <c r="BL17" s="1487">
        <v>291</v>
      </c>
      <c r="BM17" s="1540">
        <v>0.82</v>
      </c>
      <c r="BN17" s="1520">
        <v>21</v>
      </c>
      <c r="BO17" s="1487">
        <v>3</v>
      </c>
      <c r="BP17" s="1487">
        <v>2</v>
      </c>
      <c r="BQ17" s="1540">
        <v>1</v>
      </c>
      <c r="BR17" s="1520">
        <v>192</v>
      </c>
      <c r="BS17" s="1487">
        <v>85</v>
      </c>
      <c r="BT17" s="1487">
        <v>73</v>
      </c>
      <c r="BU17" s="1540">
        <v>12</v>
      </c>
      <c r="BV17" s="1520"/>
      <c r="BW17" s="1487"/>
      <c r="BX17" s="1487"/>
      <c r="BY17" s="1540"/>
      <c r="BZ17" s="1520"/>
      <c r="CA17" s="1487"/>
      <c r="CB17" s="1487"/>
      <c r="CC17" s="1540"/>
      <c r="CD17" s="1520"/>
      <c r="CE17" s="1487"/>
      <c r="CF17" s="1487"/>
      <c r="CG17" s="1540"/>
      <c r="CH17" s="1520">
        <v>69.23</v>
      </c>
      <c r="CI17" s="1487">
        <v>29</v>
      </c>
      <c r="CJ17" s="1487">
        <v>29</v>
      </c>
      <c r="CK17" s="1540">
        <v>1.62</v>
      </c>
      <c r="CL17" s="1520">
        <v>245</v>
      </c>
      <c r="CM17" s="1487">
        <v>108</v>
      </c>
      <c r="CN17" s="1487">
        <v>115</v>
      </c>
      <c r="CO17" s="1540">
        <v>245</v>
      </c>
      <c r="CP17" s="1520"/>
      <c r="CQ17" s="1487"/>
      <c r="CR17" s="1487"/>
      <c r="CS17" s="1540"/>
    </row>
    <row r="18" spans="1:97" ht="16.5">
      <c r="A18" s="1486" t="s">
        <v>515</v>
      </c>
      <c r="B18" s="1543"/>
      <c r="C18" s="1487"/>
      <c r="D18" s="1544"/>
      <c r="E18" s="1540"/>
      <c r="F18" s="1522"/>
      <c r="G18" s="1487"/>
      <c r="H18" s="1487"/>
      <c r="I18" s="1540"/>
      <c r="J18" s="1520"/>
      <c r="K18" s="1487"/>
      <c r="L18" s="1487"/>
      <c r="M18" s="1540"/>
      <c r="N18" s="1520">
        <v>53</v>
      </c>
      <c r="O18" s="1487">
        <v>2</v>
      </c>
      <c r="P18" s="1487">
        <v>1</v>
      </c>
      <c r="Q18" s="1521">
        <v>26</v>
      </c>
      <c r="R18" s="1522"/>
      <c r="S18" s="1487"/>
      <c r="T18" s="1487"/>
      <c r="U18" s="1540"/>
      <c r="V18" s="1520">
        <v>700.4</v>
      </c>
      <c r="W18" s="1520">
        <v>25</v>
      </c>
      <c r="X18" s="1487">
        <v>24</v>
      </c>
      <c r="Y18" s="1540">
        <v>729.8</v>
      </c>
      <c r="Z18" s="1520"/>
      <c r="AA18" s="1487"/>
      <c r="AB18" s="1487"/>
      <c r="AC18" s="1540"/>
      <c r="AD18" s="1520">
        <v>0.23</v>
      </c>
      <c r="AE18" s="1487">
        <v>8</v>
      </c>
      <c r="AF18" s="1487">
        <v>8</v>
      </c>
      <c r="AG18" s="1540">
        <v>0.23</v>
      </c>
      <c r="AH18" s="1520">
        <v>174.26</v>
      </c>
      <c r="AI18" s="1487">
        <v>65</v>
      </c>
      <c r="AJ18" s="1487">
        <v>64</v>
      </c>
      <c r="AK18" s="1540">
        <v>11.99</v>
      </c>
      <c r="AL18" s="1520">
        <v>5</v>
      </c>
      <c r="AM18" s="1487">
        <v>2</v>
      </c>
      <c r="AN18" s="1487">
        <v>2</v>
      </c>
      <c r="AO18" s="1540">
        <v>0</v>
      </c>
      <c r="AP18" s="1520">
        <v>6543.03</v>
      </c>
      <c r="AQ18" s="1487">
        <v>2357</v>
      </c>
      <c r="AR18" s="1487">
        <v>2597</v>
      </c>
      <c r="AS18" s="1540">
        <v>443.25</v>
      </c>
      <c r="AT18" s="1520">
        <v>3606.1</v>
      </c>
      <c r="AU18" s="1487">
        <v>1134</v>
      </c>
      <c r="AV18" s="1487">
        <v>1409</v>
      </c>
      <c r="AW18" s="1540">
        <v>3279.5</v>
      </c>
      <c r="AX18" s="1520">
        <v>0.48</v>
      </c>
      <c r="AY18" s="1487">
        <v>18</v>
      </c>
      <c r="AZ18" s="1487">
        <v>18</v>
      </c>
      <c r="BA18" s="1540">
        <v>0.48</v>
      </c>
      <c r="BB18" s="1520"/>
      <c r="BC18" s="1487"/>
      <c r="BD18" s="1487"/>
      <c r="BE18" s="1540"/>
      <c r="BF18" s="1520">
        <v>659.1</v>
      </c>
      <c r="BG18" s="1520">
        <v>229</v>
      </c>
      <c r="BH18" s="1487">
        <v>424</v>
      </c>
      <c r="BI18" s="1540">
        <v>45.14</v>
      </c>
      <c r="BJ18" s="1520">
        <v>5.96</v>
      </c>
      <c r="BK18" s="1487">
        <v>210</v>
      </c>
      <c r="BL18" s="1487">
        <v>206</v>
      </c>
      <c r="BM18" s="1540">
        <v>0.7</v>
      </c>
      <c r="BN18" s="1520">
        <v>26</v>
      </c>
      <c r="BO18" s="1487">
        <v>2</v>
      </c>
      <c r="BP18" s="1487">
        <v>2</v>
      </c>
      <c r="BQ18" s="1540">
        <v>4</v>
      </c>
      <c r="BR18" s="1520">
        <v>3236</v>
      </c>
      <c r="BS18" s="1487">
        <v>402</v>
      </c>
      <c r="BT18" s="1487">
        <v>328</v>
      </c>
      <c r="BU18" s="1540">
        <v>198</v>
      </c>
      <c r="BV18" s="1520"/>
      <c r="BW18" s="1487"/>
      <c r="BX18" s="1487"/>
      <c r="BY18" s="1540"/>
      <c r="BZ18" s="1520"/>
      <c r="CA18" s="1487"/>
      <c r="CB18" s="1487"/>
      <c r="CC18" s="1540"/>
      <c r="CD18" s="1520"/>
      <c r="CE18" s="1487"/>
      <c r="CF18" s="1487"/>
      <c r="CG18" s="1540"/>
      <c r="CH18" s="1520">
        <v>209.84</v>
      </c>
      <c r="CI18" s="1487">
        <v>71</v>
      </c>
      <c r="CJ18" s="1487">
        <v>71</v>
      </c>
      <c r="CK18" s="1540">
        <v>5.99</v>
      </c>
      <c r="CL18" s="1520">
        <v>245</v>
      </c>
      <c r="CM18" s="1487">
        <v>88</v>
      </c>
      <c r="CN18" s="1487">
        <v>92</v>
      </c>
      <c r="CO18" s="1540">
        <v>245</v>
      </c>
      <c r="CP18" s="1520"/>
      <c r="CQ18" s="1487"/>
      <c r="CR18" s="1487"/>
      <c r="CS18" s="1540"/>
    </row>
    <row r="19" spans="1:97" ht="16.5">
      <c r="A19" s="1486" t="s">
        <v>516</v>
      </c>
      <c r="B19" s="1543"/>
      <c r="C19" s="1487"/>
      <c r="D19" s="1544"/>
      <c r="E19" s="1540"/>
      <c r="F19" s="1522"/>
      <c r="G19" s="1487"/>
      <c r="H19" s="1487"/>
      <c r="I19" s="1540"/>
      <c r="J19" s="1520"/>
      <c r="K19" s="1487"/>
      <c r="L19" s="1487"/>
      <c r="M19" s="1540"/>
      <c r="N19" s="1520">
        <v>297</v>
      </c>
      <c r="O19" s="1487">
        <v>2</v>
      </c>
      <c r="P19" s="1487"/>
      <c r="Q19" s="1521">
        <v>294</v>
      </c>
      <c r="R19" s="1522"/>
      <c r="S19" s="1487"/>
      <c r="T19" s="1487"/>
      <c r="U19" s="1540"/>
      <c r="V19" s="1520">
        <v>7604</v>
      </c>
      <c r="W19" s="1520">
        <v>110</v>
      </c>
      <c r="X19" s="1487">
        <v>99</v>
      </c>
      <c r="Y19" s="1540">
        <v>7604</v>
      </c>
      <c r="Z19" s="1520"/>
      <c r="AA19" s="1487"/>
      <c r="AB19" s="1487"/>
      <c r="AC19" s="1540"/>
      <c r="AD19" s="1520">
        <v>4.12</v>
      </c>
      <c r="AE19" s="1487">
        <v>43</v>
      </c>
      <c r="AF19" s="1487">
        <v>41</v>
      </c>
      <c r="AG19" s="1540">
        <v>4.12</v>
      </c>
      <c r="AH19" s="1520">
        <v>4724.21</v>
      </c>
      <c r="AI19" s="1487">
        <v>382</v>
      </c>
      <c r="AJ19" s="1487">
        <v>380</v>
      </c>
      <c r="AK19" s="1540">
        <v>326.59</v>
      </c>
      <c r="AL19" s="1520">
        <v>44</v>
      </c>
      <c r="AM19" s="1487">
        <v>7</v>
      </c>
      <c r="AN19" s="1487">
        <v>6</v>
      </c>
      <c r="AO19" s="1540">
        <v>3</v>
      </c>
      <c r="AP19" s="1520">
        <v>233443.51</v>
      </c>
      <c r="AQ19" s="1487">
        <v>17798</v>
      </c>
      <c r="AR19" s="1487">
        <v>20737</v>
      </c>
      <c r="AS19" s="1540">
        <v>16553.16</v>
      </c>
      <c r="AT19" s="1520">
        <v>83714.9</v>
      </c>
      <c r="AU19" s="1487">
        <v>6879</v>
      </c>
      <c r="AV19" s="1487">
        <v>8625</v>
      </c>
      <c r="AW19" s="1540">
        <v>79603.2</v>
      </c>
      <c r="AX19" s="1520">
        <v>6.31</v>
      </c>
      <c r="AY19" s="1487">
        <v>77</v>
      </c>
      <c r="AZ19" s="1487">
        <v>77</v>
      </c>
      <c r="BA19" s="1540">
        <v>6.31</v>
      </c>
      <c r="BB19" s="1520">
        <v>15759739</v>
      </c>
      <c r="BC19" s="1487">
        <v>21</v>
      </c>
      <c r="BD19" s="1487">
        <v>21</v>
      </c>
      <c r="BE19" s="1540">
        <v>157.59739</v>
      </c>
      <c r="BF19" s="1520">
        <v>25595.39</v>
      </c>
      <c r="BG19" s="1520">
        <v>1507</v>
      </c>
      <c r="BH19" s="1487">
        <v>1613</v>
      </c>
      <c r="BI19" s="1540">
        <v>1882.69</v>
      </c>
      <c r="BJ19" s="1520">
        <v>121.22</v>
      </c>
      <c r="BK19" s="1487">
        <v>1016</v>
      </c>
      <c r="BL19" s="1487">
        <v>965</v>
      </c>
      <c r="BM19" s="1540">
        <v>14.21</v>
      </c>
      <c r="BN19" s="1520">
        <v>248</v>
      </c>
      <c r="BO19" s="1487">
        <v>10</v>
      </c>
      <c r="BP19" s="1487">
        <v>9</v>
      </c>
      <c r="BQ19" s="1540">
        <v>4</v>
      </c>
      <c r="BR19" s="1520"/>
      <c r="BS19" s="1487"/>
      <c r="BT19" s="1487"/>
      <c r="BU19" s="1540"/>
      <c r="BV19" s="1520"/>
      <c r="BW19" s="1487"/>
      <c r="BX19" s="1487"/>
      <c r="BY19" s="1540"/>
      <c r="BZ19" s="1520"/>
      <c r="CA19" s="1487"/>
      <c r="CB19" s="1487"/>
      <c r="CC19" s="1540"/>
      <c r="CD19" s="1520"/>
      <c r="CE19" s="1487"/>
      <c r="CF19" s="1487"/>
      <c r="CG19" s="1540"/>
      <c r="CH19" s="1520">
        <v>5869.52</v>
      </c>
      <c r="CI19" s="1487">
        <v>519</v>
      </c>
      <c r="CJ19" s="1487">
        <v>519</v>
      </c>
      <c r="CK19" s="1540">
        <v>152.12</v>
      </c>
      <c r="CL19" s="1520">
        <v>28651</v>
      </c>
      <c r="CM19" s="1487">
        <v>1503</v>
      </c>
      <c r="CN19" s="1487">
        <v>1555</v>
      </c>
      <c r="CO19" s="1540">
        <v>29201</v>
      </c>
      <c r="CP19" s="1520"/>
      <c r="CQ19" s="1487"/>
      <c r="CR19" s="1487"/>
      <c r="CS19" s="1540"/>
    </row>
    <row r="20" spans="1:97" ht="16.5">
      <c r="A20" s="1485" t="s">
        <v>517</v>
      </c>
      <c r="B20" s="1522"/>
      <c r="C20" s="1487"/>
      <c r="D20" s="1487"/>
      <c r="E20" s="1540"/>
      <c r="F20" s="1522"/>
      <c r="G20" s="1487"/>
      <c r="H20" s="1487"/>
      <c r="I20" s="1540"/>
      <c r="J20" s="1520"/>
      <c r="K20" s="1487"/>
      <c r="L20" s="1487"/>
      <c r="M20" s="1540"/>
      <c r="N20" s="1520"/>
      <c r="O20" s="1487"/>
      <c r="P20" s="1487"/>
      <c r="Q20" s="1521"/>
      <c r="R20" s="1522"/>
      <c r="S20" s="1487"/>
      <c r="T20" s="1487"/>
      <c r="U20" s="1540"/>
      <c r="V20" s="1520"/>
      <c r="W20" s="1487"/>
      <c r="X20" s="1487"/>
      <c r="Y20" s="1540"/>
      <c r="Z20" s="1520"/>
      <c r="AA20" s="1487"/>
      <c r="AB20" s="1487"/>
      <c r="AC20" s="1540"/>
      <c r="AD20" s="1520"/>
      <c r="AE20" s="1487"/>
      <c r="AF20" s="1487"/>
      <c r="AG20" s="1540"/>
      <c r="AH20" s="1520"/>
      <c r="AI20" s="1487"/>
      <c r="AJ20" s="1487"/>
      <c r="AK20" s="1540"/>
      <c r="AL20" s="1520"/>
      <c r="AM20" s="1487"/>
      <c r="AN20" s="1487"/>
      <c r="AO20" s="1540"/>
      <c r="AP20" s="1520"/>
      <c r="AQ20" s="1487"/>
      <c r="AR20" s="1487"/>
      <c r="AS20" s="1540"/>
      <c r="AT20" s="1520"/>
      <c r="AU20" s="1487"/>
      <c r="AV20" s="1487"/>
      <c r="AW20" s="1540"/>
      <c r="AX20" s="1520"/>
      <c r="AY20" s="1487"/>
      <c r="AZ20" s="1487"/>
      <c r="BA20" s="1540"/>
      <c r="BB20" s="1520"/>
      <c r="BC20" s="1487"/>
      <c r="BD20" s="1487"/>
      <c r="BE20" s="1540"/>
      <c r="BF20" s="1520"/>
      <c r="BG20" s="1487"/>
      <c r="BH20" s="1487"/>
      <c r="BI20" s="1540"/>
      <c r="BJ20" s="1520"/>
      <c r="BK20" s="1487"/>
      <c r="BL20" s="1487"/>
      <c r="BM20" s="1540"/>
      <c r="BN20" s="1520"/>
      <c r="BO20" s="1487"/>
      <c r="BP20" s="1487"/>
      <c r="BQ20" s="1540"/>
      <c r="BR20" s="1520"/>
      <c r="BS20" s="1487"/>
      <c r="BT20" s="1487"/>
      <c r="BU20" s="1540"/>
      <c r="BV20" s="1520"/>
      <c r="BW20" s="1487"/>
      <c r="BX20" s="1487"/>
      <c r="BY20" s="1540"/>
      <c r="BZ20" s="1520"/>
      <c r="CA20" s="1487"/>
      <c r="CB20" s="1487"/>
      <c r="CC20" s="1540"/>
      <c r="CD20" s="1520"/>
      <c r="CE20" s="1487"/>
      <c r="CF20" s="1487"/>
      <c r="CG20" s="1540"/>
      <c r="CH20" s="1520"/>
      <c r="CI20" s="1487"/>
      <c r="CJ20" s="1487"/>
      <c r="CK20" s="1540"/>
      <c r="CL20" s="1520"/>
      <c r="CM20" s="1487"/>
      <c r="CN20" s="1487"/>
      <c r="CO20" s="1540"/>
      <c r="CP20" s="1520"/>
      <c r="CQ20" s="1487"/>
      <c r="CR20" s="1487"/>
      <c r="CS20" s="1540"/>
    </row>
    <row r="21" spans="1:97" ht="16.5">
      <c r="A21" s="1486" t="s">
        <v>502</v>
      </c>
      <c r="B21" s="1512">
        <v>-6</v>
      </c>
      <c r="C21" s="1487">
        <v>66</v>
      </c>
      <c r="D21" s="1487">
        <v>21040</v>
      </c>
      <c r="E21" s="1545">
        <v>579</v>
      </c>
      <c r="F21" s="1522"/>
      <c r="G21" s="1487"/>
      <c r="H21" s="1487"/>
      <c r="I21" s="1540"/>
      <c r="J21" s="1520"/>
      <c r="K21" s="1487"/>
      <c r="L21" s="1487"/>
      <c r="M21" s="1540"/>
      <c r="N21" s="1520">
        <v>219287</v>
      </c>
      <c r="O21" s="1487">
        <v>80</v>
      </c>
      <c r="P21" s="1487">
        <v>33808631</v>
      </c>
      <c r="Q21" s="1521">
        <v>21941923</v>
      </c>
      <c r="R21" s="1522">
        <v>139.78</v>
      </c>
      <c r="S21" s="1487">
        <v>16</v>
      </c>
      <c r="T21" s="1487">
        <v>477210</v>
      </c>
      <c r="U21" s="1540">
        <v>16513.78</v>
      </c>
      <c r="V21" s="1520">
        <v>12711.4</v>
      </c>
      <c r="W21" s="1487"/>
      <c r="X21" s="1487">
        <v>3373827</v>
      </c>
      <c r="Y21" s="1540">
        <v>7234741.6</v>
      </c>
      <c r="Z21" s="1520">
        <v>-481.73</v>
      </c>
      <c r="AA21" s="1487">
        <v>185</v>
      </c>
      <c r="AB21" s="1487">
        <v>127851</v>
      </c>
      <c r="AC21" s="1540">
        <v>-202178.97</v>
      </c>
      <c r="AD21" s="1520">
        <v>8.64</v>
      </c>
      <c r="AE21" s="1487">
        <v>4</v>
      </c>
      <c r="AF21" s="1487">
        <v>187735</v>
      </c>
      <c r="AG21" s="1540">
        <v>917.6</v>
      </c>
      <c r="AH21" s="1520"/>
      <c r="AI21" s="1487"/>
      <c r="AJ21" s="1487"/>
      <c r="AK21" s="1540"/>
      <c r="AL21" s="1520">
        <v>0</v>
      </c>
      <c r="AM21" s="1487"/>
      <c r="AN21" s="1487">
        <v>6</v>
      </c>
      <c r="AO21" s="1540">
        <v>28</v>
      </c>
      <c r="AP21" s="1520">
        <v>-990.76</v>
      </c>
      <c r="AQ21" s="1487">
        <v>27</v>
      </c>
      <c r="AR21" s="1487">
        <v>1193</v>
      </c>
      <c r="AS21" s="1540">
        <v>25069</v>
      </c>
      <c r="AT21" s="1520">
        <v>3.2</v>
      </c>
      <c r="AU21" s="1487">
        <v>371</v>
      </c>
      <c r="AV21" s="1487">
        <v>2220</v>
      </c>
      <c r="AW21" s="1540">
        <v>3103.7</v>
      </c>
      <c r="AX21" s="1520">
        <v>-0.01</v>
      </c>
      <c r="AY21" s="1487">
        <v>0</v>
      </c>
      <c r="AZ21" s="1487">
        <v>-1</v>
      </c>
      <c r="BA21" s="1540">
        <v>-0.53</v>
      </c>
      <c r="BB21" s="1520"/>
      <c r="BC21" s="1487"/>
      <c r="BD21" s="1487"/>
      <c r="BE21" s="1540"/>
      <c r="BF21" s="1520">
        <v>-336.88</v>
      </c>
      <c r="BG21" s="1487">
        <v>118</v>
      </c>
      <c r="BH21" s="1487">
        <v>-53131</v>
      </c>
      <c r="BI21" s="1540">
        <v>-112483.57</v>
      </c>
      <c r="BJ21" s="1520"/>
      <c r="BK21" s="1487"/>
      <c r="BL21" s="1487"/>
      <c r="BM21" s="1540"/>
      <c r="BN21" s="1520"/>
      <c r="BO21" s="1487"/>
      <c r="BP21" s="1487"/>
      <c r="BQ21" s="1540"/>
      <c r="BR21" s="1520">
        <v>-256</v>
      </c>
      <c r="BS21" s="1487"/>
      <c r="BT21" s="1487">
        <v>-260679</v>
      </c>
      <c r="BU21" s="1540">
        <v>-252178</v>
      </c>
      <c r="BV21" s="1520"/>
      <c r="BW21" s="1487"/>
      <c r="BX21" s="1487"/>
      <c r="BY21" s="1540"/>
      <c r="BZ21" s="1520">
        <v>20</v>
      </c>
      <c r="CA21" s="1487">
        <v>1</v>
      </c>
      <c r="CB21" s="1487">
        <v>72209</v>
      </c>
      <c r="CC21" s="1540">
        <v>2515</v>
      </c>
      <c r="CD21" s="1520">
        <v>6.33</v>
      </c>
      <c r="CE21" s="1487">
        <v>1</v>
      </c>
      <c r="CF21" s="1487">
        <v>2608</v>
      </c>
      <c r="CG21" s="1540">
        <v>789.8</v>
      </c>
      <c r="CH21" s="1520">
        <v>-0.45</v>
      </c>
      <c r="CI21" s="1487"/>
      <c r="CJ21" s="1487">
        <v>-8</v>
      </c>
      <c r="CK21" s="1540">
        <v>-33.87</v>
      </c>
      <c r="CL21" s="1520">
        <v>760</v>
      </c>
      <c r="CM21" s="1487"/>
      <c r="CN21" s="1487">
        <v>39403</v>
      </c>
      <c r="CO21" s="1540">
        <v>159741</v>
      </c>
      <c r="CP21" s="1520"/>
      <c r="CQ21" s="1487"/>
      <c r="CR21" s="1487"/>
      <c r="CS21" s="1540"/>
    </row>
    <row r="22" spans="1:97" ht="16.5">
      <c r="A22" s="1486" t="s">
        <v>503</v>
      </c>
      <c r="B22" s="1513">
        <v>2</v>
      </c>
      <c r="C22" s="1487">
        <v>12</v>
      </c>
      <c r="D22" s="1487">
        <v>33764</v>
      </c>
      <c r="E22" s="1545">
        <v>588</v>
      </c>
      <c r="F22" s="1522"/>
      <c r="G22" s="1487"/>
      <c r="H22" s="1487"/>
      <c r="I22" s="1540"/>
      <c r="J22" s="1520"/>
      <c r="K22" s="1487"/>
      <c r="L22" s="1487"/>
      <c r="M22" s="1540"/>
      <c r="N22" s="1520">
        <v>63005</v>
      </c>
      <c r="O22" s="1487">
        <v>5</v>
      </c>
      <c r="P22" s="1487">
        <v>159012</v>
      </c>
      <c r="Q22" s="1521">
        <v>1301273</v>
      </c>
      <c r="R22" s="1522">
        <v>44.23</v>
      </c>
      <c r="S22" s="1487"/>
      <c r="T22" s="1487">
        <v>3167</v>
      </c>
      <c r="U22" s="1540">
        <v>2065.45</v>
      </c>
      <c r="V22" s="1520">
        <v>906.5</v>
      </c>
      <c r="W22" s="1487"/>
      <c r="X22" s="1487">
        <v>586</v>
      </c>
      <c r="Y22" s="1540">
        <v>30970.3</v>
      </c>
      <c r="Z22" s="1520">
        <v>292.58</v>
      </c>
      <c r="AA22" s="1487">
        <v>79</v>
      </c>
      <c r="AB22" s="1487">
        <v>309859</v>
      </c>
      <c r="AC22" s="1540">
        <v>136934.78</v>
      </c>
      <c r="AD22" s="1520">
        <v>4.92</v>
      </c>
      <c r="AE22" s="1487"/>
      <c r="AF22" s="1487">
        <v>3089</v>
      </c>
      <c r="AG22" s="1540">
        <v>340.57</v>
      </c>
      <c r="AH22" s="1520"/>
      <c r="AI22" s="1487"/>
      <c r="AJ22" s="1487"/>
      <c r="AK22" s="1540"/>
      <c r="AL22" s="1520">
        <v>0</v>
      </c>
      <c r="AM22" s="1487"/>
      <c r="AN22" s="1487">
        <v>36</v>
      </c>
      <c r="AO22" s="1540">
        <v>76</v>
      </c>
      <c r="AP22" s="1520">
        <v>40.57</v>
      </c>
      <c r="AQ22" s="1487">
        <v>9</v>
      </c>
      <c r="AR22" s="1487">
        <v>1598</v>
      </c>
      <c r="AS22" s="1540">
        <v>10894</v>
      </c>
      <c r="AT22" s="1520">
        <v>28</v>
      </c>
      <c r="AU22" s="1487">
        <v>170</v>
      </c>
      <c r="AV22" s="1487">
        <v>7593</v>
      </c>
      <c r="AW22" s="1540">
        <v>20953.5</v>
      </c>
      <c r="AX22" s="1520">
        <v>0</v>
      </c>
      <c r="AY22" s="1487">
        <v>0</v>
      </c>
      <c r="AZ22" s="1487">
        <v>0</v>
      </c>
      <c r="BA22" s="1540">
        <v>0</v>
      </c>
      <c r="BB22" s="1520"/>
      <c r="BC22" s="1487"/>
      <c r="BD22" s="1487"/>
      <c r="BE22" s="1540"/>
      <c r="BF22" s="1520">
        <v>69.29</v>
      </c>
      <c r="BG22" s="1487">
        <v>27</v>
      </c>
      <c r="BH22" s="1487">
        <v>14387</v>
      </c>
      <c r="BI22" s="1540">
        <v>6794.57</v>
      </c>
      <c r="BJ22" s="1520"/>
      <c r="BK22" s="1487"/>
      <c r="BL22" s="1487"/>
      <c r="BM22" s="1540"/>
      <c r="BN22" s="1520"/>
      <c r="BO22" s="1487"/>
      <c r="BP22" s="1487"/>
      <c r="BQ22" s="1540"/>
      <c r="BR22" s="1520">
        <v>3</v>
      </c>
      <c r="BS22" s="1487">
        <v>2</v>
      </c>
      <c r="BT22" s="1487">
        <v>832</v>
      </c>
      <c r="BU22" s="1540">
        <v>932</v>
      </c>
      <c r="BV22" s="1520"/>
      <c r="BW22" s="1487"/>
      <c r="BX22" s="1487"/>
      <c r="BY22" s="1540"/>
      <c r="BZ22" s="1520">
        <v>66</v>
      </c>
      <c r="CA22" s="1487"/>
      <c r="CB22" s="1487">
        <v>41972</v>
      </c>
      <c r="CC22" s="1540">
        <v>4980</v>
      </c>
      <c r="CD22" s="1520">
        <v>14.36</v>
      </c>
      <c r="CE22" s="1487">
        <v>1</v>
      </c>
      <c r="CF22" s="1487">
        <v>1325</v>
      </c>
      <c r="CG22" s="1540">
        <v>1529.63</v>
      </c>
      <c r="CH22" s="1520">
        <v>-0.36</v>
      </c>
      <c r="CI22" s="1487"/>
      <c r="CJ22" s="1487">
        <v>-2</v>
      </c>
      <c r="CK22" s="1540">
        <v>-22.2</v>
      </c>
      <c r="CL22" s="1520">
        <v>557</v>
      </c>
      <c r="CM22" s="1487"/>
      <c r="CN22" s="1487">
        <v>3707</v>
      </c>
      <c r="CO22" s="1540">
        <v>51317</v>
      </c>
      <c r="CP22" s="1520"/>
      <c r="CQ22" s="1487"/>
      <c r="CR22" s="1487"/>
      <c r="CS22" s="1540"/>
    </row>
    <row r="23" spans="1:97" ht="16.5">
      <c r="A23" s="1486" t="s">
        <v>504</v>
      </c>
      <c r="B23" s="1513">
        <v>6</v>
      </c>
      <c r="C23" s="1487">
        <v>15</v>
      </c>
      <c r="D23" s="1487">
        <v>26993</v>
      </c>
      <c r="E23" s="1545">
        <v>894</v>
      </c>
      <c r="F23" s="1522"/>
      <c r="G23" s="1487"/>
      <c r="H23" s="1487"/>
      <c r="I23" s="1540"/>
      <c r="J23" s="1520"/>
      <c r="K23" s="1487"/>
      <c r="L23" s="1487"/>
      <c r="M23" s="1540"/>
      <c r="N23" s="1520">
        <v>35659</v>
      </c>
      <c r="O23" s="1487">
        <v>4</v>
      </c>
      <c r="P23" s="1487">
        <v>113700</v>
      </c>
      <c r="Q23" s="1521">
        <v>1258889</v>
      </c>
      <c r="R23" s="1522">
        <v>8.26</v>
      </c>
      <c r="S23" s="1487"/>
      <c r="T23" s="1487">
        <v>254</v>
      </c>
      <c r="U23" s="1540">
        <v>333.09</v>
      </c>
      <c r="V23" s="1520">
        <v>195.1</v>
      </c>
      <c r="W23" s="1487"/>
      <c r="X23" s="1487">
        <v>58</v>
      </c>
      <c r="Y23" s="1540">
        <v>5797.1</v>
      </c>
      <c r="Z23" s="1520">
        <v>437.13</v>
      </c>
      <c r="AA23" s="1487">
        <v>46</v>
      </c>
      <c r="AB23" s="1487">
        <v>301180</v>
      </c>
      <c r="AC23" s="1540">
        <v>218284.29</v>
      </c>
      <c r="AD23" s="1520">
        <v>4.81</v>
      </c>
      <c r="AE23" s="1487"/>
      <c r="AF23" s="1487">
        <v>14.07</v>
      </c>
      <c r="AG23" s="1540">
        <v>199.18</v>
      </c>
      <c r="AH23" s="1520"/>
      <c r="AI23" s="1487"/>
      <c r="AJ23" s="1487"/>
      <c r="AK23" s="1540"/>
      <c r="AL23" s="1520">
        <v>3</v>
      </c>
      <c r="AM23" s="1487"/>
      <c r="AN23" s="1487">
        <v>53</v>
      </c>
      <c r="AO23" s="1540">
        <v>219</v>
      </c>
      <c r="AP23" s="1520">
        <v>100.71</v>
      </c>
      <c r="AQ23" s="1487">
        <v>10</v>
      </c>
      <c r="AR23" s="1487">
        <v>5072</v>
      </c>
      <c r="AS23" s="1540">
        <v>23595</v>
      </c>
      <c r="AT23" s="1520">
        <v>91.4</v>
      </c>
      <c r="AU23" s="1487">
        <v>265</v>
      </c>
      <c r="AV23" s="1487">
        <v>11895</v>
      </c>
      <c r="AW23" s="1540">
        <v>89132.5</v>
      </c>
      <c r="AX23" s="1520">
        <v>0</v>
      </c>
      <c r="AY23" s="1487">
        <v>0</v>
      </c>
      <c r="AZ23" s="1487">
        <v>0</v>
      </c>
      <c r="BA23" s="1540">
        <v>0</v>
      </c>
      <c r="BB23" s="1520"/>
      <c r="BC23" s="1487"/>
      <c r="BD23" s="1487"/>
      <c r="BE23" s="1540"/>
      <c r="BF23" s="1520">
        <v>126.87</v>
      </c>
      <c r="BG23" s="1487">
        <v>24</v>
      </c>
      <c r="BH23" s="1487">
        <v>27300</v>
      </c>
      <c r="BI23" s="1540">
        <v>13486.41</v>
      </c>
      <c r="BJ23" s="1520"/>
      <c r="BK23" s="1487"/>
      <c r="BL23" s="1487"/>
      <c r="BM23" s="1540"/>
      <c r="BN23" s="1520"/>
      <c r="BO23" s="1487"/>
      <c r="BP23" s="1487"/>
      <c r="BQ23" s="1540"/>
      <c r="BR23" s="1520">
        <v>4</v>
      </c>
      <c r="BS23" s="1487">
        <v>3</v>
      </c>
      <c r="BT23" s="1487">
        <v>288</v>
      </c>
      <c r="BU23" s="1540">
        <v>2481</v>
      </c>
      <c r="BV23" s="1520"/>
      <c r="BW23" s="1487"/>
      <c r="BX23" s="1487"/>
      <c r="BY23" s="1540"/>
      <c r="BZ23" s="1520">
        <v>192</v>
      </c>
      <c r="CA23" s="1487">
        <v>2</v>
      </c>
      <c r="CB23" s="1487">
        <v>59301</v>
      </c>
      <c r="CC23" s="1540">
        <v>11229</v>
      </c>
      <c r="CD23" s="1520">
        <v>24.48</v>
      </c>
      <c r="CE23" s="1487">
        <v>1</v>
      </c>
      <c r="CF23" s="1487">
        <v>1168</v>
      </c>
      <c r="CG23" s="1540">
        <v>2191.86</v>
      </c>
      <c r="CH23" s="1520">
        <v>-2.1</v>
      </c>
      <c r="CI23" s="1487"/>
      <c r="CJ23" s="1487">
        <v>-7</v>
      </c>
      <c r="CK23" s="1540">
        <v>-110.26</v>
      </c>
      <c r="CL23" s="1520">
        <v>576</v>
      </c>
      <c r="CM23" s="1487"/>
      <c r="CN23" s="1487">
        <v>1800</v>
      </c>
      <c r="CO23" s="1540">
        <v>35298</v>
      </c>
      <c r="CP23" s="1520"/>
      <c r="CQ23" s="1487"/>
      <c r="CR23" s="1487"/>
      <c r="CS23" s="1540"/>
    </row>
    <row r="24" spans="1:97" ht="16.5">
      <c r="A24" s="1486" t="s">
        <v>505</v>
      </c>
      <c r="B24" s="1512">
        <v>4</v>
      </c>
      <c r="C24" s="1487">
        <v>7</v>
      </c>
      <c r="D24" s="1487">
        <v>63107</v>
      </c>
      <c r="E24" s="1545">
        <v>1206</v>
      </c>
      <c r="F24" s="1522"/>
      <c r="G24" s="1487"/>
      <c r="H24" s="1487"/>
      <c r="I24" s="1540"/>
      <c r="J24" s="1520"/>
      <c r="K24" s="1487"/>
      <c r="L24" s="1487"/>
      <c r="M24" s="1540"/>
      <c r="N24" s="1520"/>
      <c r="O24" s="1487"/>
      <c r="P24" s="1487"/>
      <c r="Q24" s="1521"/>
      <c r="R24" s="1522">
        <v>0.86</v>
      </c>
      <c r="S24" s="1487"/>
      <c r="T24" s="1487">
        <v>14</v>
      </c>
      <c r="U24" s="1540">
        <v>31.35</v>
      </c>
      <c r="V24" s="1520">
        <v>40.9</v>
      </c>
      <c r="W24" s="1487">
        <v>19</v>
      </c>
      <c r="X24" s="1487">
        <v>4</v>
      </c>
      <c r="Y24" s="1540">
        <v>706.2</v>
      </c>
      <c r="Z24" s="1520">
        <v>424.88</v>
      </c>
      <c r="AA24" s="1487">
        <v>21</v>
      </c>
      <c r="AB24" s="1487">
        <v>319195</v>
      </c>
      <c r="AC24" s="1540">
        <v>169806.82</v>
      </c>
      <c r="AD24" s="1520">
        <v>2.17</v>
      </c>
      <c r="AE24" s="1487"/>
      <c r="AF24" s="1487">
        <v>366</v>
      </c>
      <c r="AG24" s="1540">
        <v>69.31</v>
      </c>
      <c r="AH24" s="1520"/>
      <c r="AI24" s="1487"/>
      <c r="AJ24" s="1487"/>
      <c r="AK24" s="1540"/>
      <c r="AL24" s="1520">
        <v>1</v>
      </c>
      <c r="AM24" s="1487"/>
      <c r="AN24" s="1487"/>
      <c r="AO24" s="1540">
        <v>48</v>
      </c>
      <c r="AP24" s="1520">
        <v>111.63</v>
      </c>
      <c r="AQ24" s="1487">
        <v>4</v>
      </c>
      <c r="AR24" s="1487">
        <v>3986</v>
      </c>
      <c r="AS24" s="1540">
        <v>26711</v>
      </c>
      <c r="AT24" s="1520">
        <v>110.5</v>
      </c>
      <c r="AU24" s="1487">
        <v>193</v>
      </c>
      <c r="AV24" s="1487">
        <v>12331</v>
      </c>
      <c r="AW24" s="1540">
        <v>127663.2</v>
      </c>
      <c r="AX24" s="1520">
        <v>0.01</v>
      </c>
      <c r="AY24" s="1487">
        <v>1</v>
      </c>
      <c r="AZ24" s="1487">
        <v>82</v>
      </c>
      <c r="BA24" s="1540">
        <v>0.01</v>
      </c>
      <c r="BB24" s="1520"/>
      <c r="BC24" s="1487"/>
      <c r="BD24" s="1487"/>
      <c r="BE24" s="1540"/>
      <c r="BF24" s="1520">
        <v>111.95</v>
      </c>
      <c r="BG24" s="1487">
        <v>9</v>
      </c>
      <c r="BH24" s="1487">
        <v>32446</v>
      </c>
      <c r="BI24" s="1540">
        <v>13710.49</v>
      </c>
      <c r="BJ24" s="1520"/>
      <c r="BK24" s="1487"/>
      <c r="BL24" s="1487"/>
      <c r="BM24" s="1540"/>
      <c r="BN24" s="1520"/>
      <c r="BO24" s="1487"/>
      <c r="BP24" s="1487"/>
      <c r="BQ24" s="1540"/>
      <c r="BR24" s="1520">
        <v>2</v>
      </c>
      <c r="BS24" s="1487"/>
      <c r="BT24" s="1487">
        <v>2944</v>
      </c>
      <c r="BU24" s="1540">
        <v>3902</v>
      </c>
      <c r="BV24" s="1520"/>
      <c r="BW24" s="1487"/>
      <c r="BX24" s="1487"/>
      <c r="BY24" s="1540"/>
      <c r="BZ24" s="1520">
        <v>203</v>
      </c>
      <c r="CA24" s="1487"/>
      <c r="CB24" s="1487">
        <v>36502</v>
      </c>
      <c r="CC24" s="1540">
        <v>9256</v>
      </c>
      <c r="CD24" s="1520">
        <v>30.22</v>
      </c>
      <c r="CE24" s="1487">
        <v>1</v>
      </c>
      <c r="CF24" s="1487">
        <v>2276</v>
      </c>
      <c r="CG24" s="1540">
        <v>2922.16</v>
      </c>
      <c r="CH24" s="1520">
        <v>-3.06</v>
      </c>
      <c r="CI24" s="1487"/>
      <c r="CJ24" s="1487">
        <v>-14</v>
      </c>
      <c r="CK24" s="1540">
        <v>-170.26</v>
      </c>
      <c r="CL24" s="1520">
        <v>393</v>
      </c>
      <c r="CM24" s="1487"/>
      <c r="CN24" s="1487">
        <v>757</v>
      </c>
      <c r="CO24" s="1540">
        <v>19786</v>
      </c>
      <c r="CP24" s="1520"/>
      <c r="CQ24" s="1487"/>
      <c r="CR24" s="1487"/>
      <c r="CS24" s="1540"/>
    </row>
    <row r="25" spans="1:97" ht="16.5">
      <c r="A25" s="1486" t="s">
        <v>506</v>
      </c>
      <c r="B25" s="1512">
        <v>12</v>
      </c>
      <c r="C25" s="1487">
        <v>13</v>
      </c>
      <c r="D25" s="1487">
        <v>248</v>
      </c>
      <c r="E25" s="1545">
        <v>332</v>
      </c>
      <c r="F25" s="1522"/>
      <c r="G25" s="1487"/>
      <c r="H25" s="1487"/>
      <c r="I25" s="1540"/>
      <c r="J25" s="1520"/>
      <c r="K25" s="1487"/>
      <c r="L25" s="1487"/>
      <c r="M25" s="1540"/>
      <c r="N25" s="1520"/>
      <c r="O25" s="1487"/>
      <c r="P25" s="1487"/>
      <c r="Q25" s="1521"/>
      <c r="R25" s="1522">
        <v>0.77</v>
      </c>
      <c r="S25" s="1487"/>
      <c r="T25" s="1487">
        <v>9</v>
      </c>
      <c r="U25" s="1540">
        <v>34.98</v>
      </c>
      <c r="V25" s="1520">
        <v>7.4</v>
      </c>
      <c r="W25" s="1487"/>
      <c r="X25" s="1487"/>
      <c r="Y25" s="1540"/>
      <c r="Z25" s="1520">
        <v>477.4</v>
      </c>
      <c r="AA25" s="1487">
        <v>18</v>
      </c>
      <c r="AB25" s="1487">
        <v>394003</v>
      </c>
      <c r="AC25" s="1540">
        <v>113309.14</v>
      </c>
      <c r="AD25" s="1520">
        <v>0.71</v>
      </c>
      <c r="AE25" s="1487"/>
      <c r="AF25" s="1487">
        <v>85</v>
      </c>
      <c r="AG25" s="1540">
        <v>19.92</v>
      </c>
      <c r="AH25" s="1520"/>
      <c r="AI25" s="1487"/>
      <c r="AJ25" s="1487"/>
      <c r="AK25" s="1540"/>
      <c r="AL25" s="1520">
        <v>2481</v>
      </c>
      <c r="AM25" s="1487">
        <v>1</v>
      </c>
      <c r="AN25" s="1487">
        <v>23879</v>
      </c>
      <c r="AO25" s="1540">
        <v>218181</v>
      </c>
      <c r="AP25" s="1520">
        <v>133.81</v>
      </c>
      <c r="AQ25" s="1487">
        <v>4</v>
      </c>
      <c r="AR25" s="1487">
        <v>3676</v>
      </c>
      <c r="AS25" s="1540">
        <v>22729</v>
      </c>
      <c r="AT25" s="1520">
        <v>139.8</v>
      </c>
      <c r="AU25" s="1487">
        <v>173</v>
      </c>
      <c r="AV25" s="1487">
        <v>17533</v>
      </c>
      <c r="AW25" s="1540">
        <v>180881.5</v>
      </c>
      <c r="AX25" s="1520">
        <v>0.02</v>
      </c>
      <c r="AY25" s="1487">
        <v>0</v>
      </c>
      <c r="AZ25" s="1487">
        <v>0</v>
      </c>
      <c r="BA25" s="1540">
        <v>0</v>
      </c>
      <c r="BB25" s="1520"/>
      <c r="BC25" s="1487"/>
      <c r="BD25" s="1487"/>
      <c r="BE25" s="1540"/>
      <c r="BF25" s="1520">
        <v>127.03</v>
      </c>
      <c r="BG25" s="1487">
        <v>7</v>
      </c>
      <c r="BH25" s="1487">
        <v>20284</v>
      </c>
      <c r="BI25" s="1540">
        <v>12445.28</v>
      </c>
      <c r="BJ25" s="1520"/>
      <c r="BK25" s="1487"/>
      <c r="BL25" s="1487"/>
      <c r="BM25" s="1540"/>
      <c r="BN25" s="1520"/>
      <c r="BO25" s="1487"/>
      <c r="BP25" s="1487"/>
      <c r="BQ25" s="1540"/>
      <c r="BR25" s="1520">
        <v>4</v>
      </c>
      <c r="BS25" s="1487">
        <v>2</v>
      </c>
      <c r="BT25" s="1487">
        <v>423</v>
      </c>
      <c r="BU25" s="1540">
        <v>4606</v>
      </c>
      <c r="BV25" s="1520"/>
      <c r="BW25" s="1487"/>
      <c r="BX25" s="1487"/>
      <c r="BY25" s="1540"/>
      <c r="BZ25" s="1520">
        <v>176</v>
      </c>
      <c r="CA25" s="1487">
        <v>2</v>
      </c>
      <c r="CB25" s="1487">
        <v>22287</v>
      </c>
      <c r="CC25" s="1540">
        <v>6402</v>
      </c>
      <c r="CD25" s="1520">
        <v>28.12</v>
      </c>
      <c r="CE25" s="1487">
        <v>1</v>
      </c>
      <c r="CF25" s="1487">
        <v>1526</v>
      </c>
      <c r="CG25" s="1540">
        <v>2445.77</v>
      </c>
      <c r="CH25" s="1520">
        <v>-1.79</v>
      </c>
      <c r="CI25" s="1487"/>
      <c r="CJ25" s="1487">
        <v>-3</v>
      </c>
      <c r="CK25" s="1540">
        <v>-43.5</v>
      </c>
      <c r="CL25" s="1520">
        <v>232</v>
      </c>
      <c r="CM25" s="1487"/>
      <c r="CN25" s="1487">
        <v>326</v>
      </c>
      <c r="CO25" s="1540">
        <v>11588</v>
      </c>
      <c r="CP25" s="1520"/>
      <c r="CQ25" s="1487"/>
      <c r="CR25" s="1487"/>
      <c r="CS25" s="1540"/>
    </row>
    <row r="26" spans="1:97" ht="16.5">
      <c r="A26" s="1486" t="s">
        <v>507</v>
      </c>
      <c r="B26" s="1512">
        <v>12</v>
      </c>
      <c r="C26" s="1487">
        <v>11</v>
      </c>
      <c r="D26" s="1487">
        <v>292</v>
      </c>
      <c r="E26" s="1545">
        <v>599</v>
      </c>
      <c r="F26" s="1522"/>
      <c r="G26" s="1487"/>
      <c r="H26" s="1487"/>
      <c r="I26" s="1540"/>
      <c r="J26" s="1520"/>
      <c r="K26" s="1487"/>
      <c r="L26" s="1487"/>
      <c r="M26" s="1540"/>
      <c r="N26" s="1520"/>
      <c r="O26" s="1487"/>
      <c r="P26" s="1487"/>
      <c r="Q26" s="1521"/>
      <c r="R26" s="1522">
        <v>0.1</v>
      </c>
      <c r="S26" s="1487"/>
      <c r="T26" s="1487">
        <v>1</v>
      </c>
      <c r="U26" s="1540">
        <v>1.5</v>
      </c>
      <c r="V26" s="1520"/>
      <c r="W26" s="1487"/>
      <c r="X26" s="1487"/>
      <c r="Y26" s="1540"/>
      <c r="Z26" s="1520">
        <v>491.29</v>
      </c>
      <c r="AA26" s="1487">
        <v>24</v>
      </c>
      <c r="AB26" s="1487">
        <v>335177</v>
      </c>
      <c r="AC26" s="1540">
        <v>126976.15</v>
      </c>
      <c r="AD26" s="1520">
        <v>0.27</v>
      </c>
      <c r="AE26" s="1487"/>
      <c r="AF26" s="1487">
        <v>25</v>
      </c>
      <c r="AG26" s="1540">
        <v>10.86</v>
      </c>
      <c r="AH26" s="1520"/>
      <c r="AI26" s="1487"/>
      <c r="AJ26" s="1487"/>
      <c r="AK26" s="1540"/>
      <c r="AL26" s="1520">
        <v>1</v>
      </c>
      <c r="AM26" s="1487"/>
      <c r="AN26" s="1487">
        <v>5</v>
      </c>
      <c r="AO26" s="1540">
        <v>54</v>
      </c>
      <c r="AP26" s="1520">
        <v>141.62</v>
      </c>
      <c r="AQ26" s="1487">
        <v>3</v>
      </c>
      <c r="AR26" s="1487">
        <v>4347</v>
      </c>
      <c r="AS26" s="1540">
        <v>21620</v>
      </c>
      <c r="AT26" s="1520">
        <v>113.8</v>
      </c>
      <c r="AU26" s="1487">
        <v>101</v>
      </c>
      <c r="AV26" s="1487">
        <v>11277</v>
      </c>
      <c r="AW26" s="1540">
        <v>143798.1</v>
      </c>
      <c r="AX26" s="1520">
        <v>0</v>
      </c>
      <c r="AY26" s="1487">
        <v>0</v>
      </c>
      <c r="AZ26" s="1487">
        <v>0</v>
      </c>
      <c r="BA26" s="1540">
        <v>0</v>
      </c>
      <c r="BB26" s="1520"/>
      <c r="BC26" s="1487"/>
      <c r="BD26" s="1487"/>
      <c r="BE26" s="1540"/>
      <c r="BF26" s="1520">
        <v>93.89</v>
      </c>
      <c r="BG26" s="1487">
        <v>6</v>
      </c>
      <c r="BH26" s="1487">
        <v>18955</v>
      </c>
      <c r="BI26" s="1540">
        <v>9121.44</v>
      </c>
      <c r="BJ26" s="1520"/>
      <c r="BK26" s="1487"/>
      <c r="BL26" s="1487"/>
      <c r="BM26" s="1540"/>
      <c r="BN26" s="1520"/>
      <c r="BO26" s="1487"/>
      <c r="BP26" s="1487"/>
      <c r="BQ26" s="1540"/>
      <c r="BR26" s="1520">
        <v>3</v>
      </c>
      <c r="BS26" s="1487"/>
      <c r="BT26" s="1487">
        <v>1291</v>
      </c>
      <c r="BU26" s="1540">
        <v>7333</v>
      </c>
      <c r="BV26" s="1520"/>
      <c r="BW26" s="1487"/>
      <c r="BX26" s="1487"/>
      <c r="BY26" s="1540"/>
      <c r="BZ26" s="1520">
        <v>146</v>
      </c>
      <c r="CA26" s="1487"/>
      <c r="CB26" s="1487">
        <v>14369</v>
      </c>
      <c r="CC26" s="1540">
        <v>4531</v>
      </c>
      <c r="CD26" s="1520">
        <v>26.77</v>
      </c>
      <c r="CE26" s="1487">
        <v>1</v>
      </c>
      <c r="CF26" s="1487">
        <v>1477</v>
      </c>
      <c r="CG26" s="1540">
        <v>1921.4</v>
      </c>
      <c r="CH26" s="1520">
        <v>-4.67</v>
      </c>
      <c r="CI26" s="1487"/>
      <c r="CJ26" s="1487">
        <v>-12</v>
      </c>
      <c r="CK26" s="1540">
        <v>-177.41</v>
      </c>
      <c r="CL26" s="1520">
        <v>341</v>
      </c>
      <c r="CM26" s="1487"/>
      <c r="CN26" s="1487">
        <v>416</v>
      </c>
      <c r="CO26" s="1540">
        <v>17519</v>
      </c>
      <c r="CP26" s="1520"/>
      <c r="CQ26" s="1487"/>
      <c r="CR26" s="1487"/>
      <c r="CS26" s="1540"/>
    </row>
    <row r="27" spans="1:97" ht="16.5">
      <c r="A27" s="1486" t="s">
        <v>508</v>
      </c>
      <c r="B27" s="1512">
        <v>175343</v>
      </c>
      <c r="C27" s="1487">
        <v>571</v>
      </c>
      <c r="D27" s="1487">
        <v>1384235</v>
      </c>
      <c r="E27" s="1545">
        <v>1017604</v>
      </c>
      <c r="F27" s="1522">
        <v>108</v>
      </c>
      <c r="G27" s="1487"/>
      <c r="H27" s="1487"/>
      <c r="I27" s="1540"/>
      <c r="J27" s="1520"/>
      <c r="K27" s="1487"/>
      <c r="L27" s="1487"/>
      <c r="M27" s="1540"/>
      <c r="N27" s="1520"/>
      <c r="O27" s="1487"/>
      <c r="P27" s="1487"/>
      <c r="Q27" s="1521"/>
      <c r="R27" s="1522">
        <v>0.14</v>
      </c>
      <c r="S27" s="1487"/>
      <c r="T27" s="1487">
        <v>1</v>
      </c>
      <c r="U27" s="1540">
        <v>3.38</v>
      </c>
      <c r="V27" s="1520">
        <v>28949.1</v>
      </c>
      <c r="W27" s="1487"/>
      <c r="X27" s="1487">
        <v>7</v>
      </c>
      <c r="Y27" s="1540">
        <v>519.1</v>
      </c>
      <c r="Z27" s="1520">
        <v>33253.95</v>
      </c>
      <c r="AA27" s="1487">
        <v>157</v>
      </c>
      <c r="AB27" s="1487">
        <v>7711503</v>
      </c>
      <c r="AC27" s="1540">
        <v>3917534.02</v>
      </c>
      <c r="AD27" s="1520">
        <v>0.57</v>
      </c>
      <c r="AE27" s="1487"/>
      <c r="AF27" s="1487">
        <v>26</v>
      </c>
      <c r="AG27" s="1540">
        <v>21.88</v>
      </c>
      <c r="AH27" s="1520">
        <v>53.17</v>
      </c>
      <c r="AI27" s="1487"/>
      <c r="AJ27" s="1487">
        <v>2220</v>
      </c>
      <c r="AK27" s="1540">
        <v>4060.69</v>
      </c>
      <c r="AL27" s="1520">
        <v>5280</v>
      </c>
      <c r="AM27" s="1487">
        <v>2</v>
      </c>
      <c r="AN27" s="1487">
        <v>46407</v>
      </c>
      <c r="AO27" s="1540">
        <v>458135</v>
      </c>
      <c r="AP27" s="1520">
        <v>831625.95</v>
      </c>
      <c r="AQ27" s="1487">
        <v>153</v>
      </c>
      <c r="AR27" s="1487">
        <v>40325120</v>
      </c>
      <c r="AS27" s="1540">
        <v>33750030</v>
      </c>
      <c r="AT27" s="1520">
        <v>241976.2</v>
      </c>
      <c r="AU27" s="1487">
        <v>1580</v>
      </c>
      <c r="AV27" s="1487">
        <v>30533213</v>
      </c>
      <c r="AW27" s="1540">
        <v>45469342.6</v>
      </c>
      <c r="AX27" s="1520">
        <v>153.14</v>
      </c>
      <c r="AY27" s="1487">
        <v>3</v>
      </c>
      <c r="AZ27" s="1487">
        <v>18137</v>
      </c>
      <c r="BA27" s="1540">
        <v>6102.94</v>
      </c>
      <c r="BB27" s="1520"/>
      <c r="BC27" s="1487"/>
      <c r="BD27" s="1487"/>
      <c r="BE27" s="1540"/>
      <c r="BF27" s="1520">
        <v>115764.18</v>
      </c>
      <c r="BG27" s="1487">
        <v>65</v>
      </c>
      <c r="BH27" s="1487">
        <v>14219331</v>
      </c>
      <c r="BI27" s="1540">
        <v>9519571.46</v>
      </c>
      <c r="BJ27" s="1520"/>
      <c r="BK27" s="1487"/>
      <c r="BL27" s="1487"/>
      <c r="BM27" s="1540"/>
      <c r="BN27" s="1520"/>
      <c r="BO27" s="1487"/>
      <c r="BP27" s="1487"/>
      <c r="BQ27" s="1540"/>
      <c r="BR27" s="1520">
        <v>1764</v>
      </c>
      <c r="BS27" s="1487">
        <v>30</v>
      </c>
      <c r="BT27" s="1487">
        <v>857500</v>
      </c>
      <c r="BU27" s="1540">
        <v>1252756</v>
      </c>
      <c r="BV27" s="1520"/>
      <c r="BW27" s="1487"/>
      <c r="BX27" s="1487"/>
      <c r="BY27" s="1540"/>
      <c r="BZ27" s="1520">
        <v>4324</v>
      </c>
      <c r="CA27" s="1487">
        <v>92</v>
      </c>
      <c r="CB27" s="1487">
        <v>91774</v>
      </c>
      <c r="CC27" s="1540">
        <v>12651</v>
      </c>
      <c r="CD27" s="1520">
        <v>19967.26</v>
      </c>
      <c r="CE27" s="1487">
        <v>1</v>
      </c>
      <c r="CF27" s="1487">
        <v>2976202</v>
      </c>
      <c r="CG27" s="1540">
        <v>2404691.93</v>
      </c>
      <c r="CH27" s="1520">
        <v>9132.79</v>
      </c>
      <c r="CI27" s="1487"/>
      <c r="CJ27" s="1487">
        <v>40556</v>
      </c>
      <c r="CK27" s="1540">
        <v>442560.5</v>
      </c>
      <c r="CL27" s="1520">
        <v>1113</v>
      </c>
      <c r="CM27" s="1487"/>
      <c r="CN27" s="1487">
        <v>642</v>
      </c>
      <c r="CO27" s="1540">
        <v>50574</v>
      </c>
      <c r="CP27" s="1520"/>
      <c r="CQ27" s="1487"/>
      <c r="CR27" s="1487"/>
      <c r="CS27" s="1540"/>
    </row>
    <row r="28" spans="1:97" ht="16.5">
      <c r="A28" s="1485" t="s">
        <v>518</v>
      </c>
      <c r="B28" s="1522"/>
      <c r="C28" s="1487"/>
      <c r="D28" s="1487"/>
      <c r="E28" s="1540"/>
      <c r="F28" s="1522"/>
      <c r="G28" s="1487"/>
      <c r="H28" s="1487"/>
      <c r="I28" s="1540"/>
      <c r="J28" s="1520"/>
      <c r="K28" s="1487"/>
      <c r="L28" s="1487"/>
      <c r="M28" s="1540"/>
      <c r="N28" s="1520"/>
      <c r="O28" s="1487"/>
      <c r="P28" s="1487"/>
      <c r="Q28" s="1521"/>
      <c r="R28" s="1522"/>
      <c r="S28" s="1487"/>
      <c r="T28" s="1487"/>
      <c r="U28" s="1540"/>
      <c r="V28" s="1520"/>
      <c r="W28" s="1487"/>
      <c r="X28" s="1487"/>
      <c r="Y28" s="1540"/>
      <c r="Z28" s="1520"/>
      <c r="AA28" s="1487"/>
      <c r="AB28" s="1487"/>
      <c r="AC28" s="1540"/>
      <c r="AD28" s="1520"/>
      <c r="AE28" s="1487"/>
      <c r="AF28" s="1487"/>
      <c r="AG28" s="1540"/>
      <c r="AH28" s="1520"/>
      <c r="AI28" s="1487"/>
      <c r="AJ28" s="1487"/>
      <c r="AK28" s="1540"/>
      <c r="AL28" s="1520"/>
      <c r="AM28" s="1487"/>
      <c r="AN28" s="1487"/>
      <c r="AO28" s="1540"/>
      <c r="AP28" s="1520"/>
      <c r="AQ28" s="1487"/>
      <c r="AR28" s="1487"/>
      <c r="AS28" s="1540"/>
      <c r="AT28" s="1520"/>
      <c r="AU28" s="1487"/>
      <c r="AV28" s="1487"/>
      <c r="AW28" s="1540"/>
      <c r="AX28" s="1520"/>
      <c r="AY28" s="1487"/>
      <c r="AZ28" s="1487"/>
      <c r="BA28" s="1540"/>
      <c r="BB28" s="1520"/>
      <c r="BC28" s="1487"/>
      <c r="BD28" s="1487"/>
      <c r="BE28" s="1540"/>
      <c r="BF28" s="1520"/>
      <c r="BG28" s="1487"/>
      <c r="BH28" s="1487"/>
      <c r="BI28" s="1540"/>
      <c r="BJ28" s="1520"/>
      <c r="BK28" s="1487"/>
      <c r="BL28" s="1487"/>
      <c r="BM28" s="1540"/>
      <c r="BN28" s="1520"/>
      <c r="BO28" s="1487"/>
      <c r="BP28" s="1487"/>
      <c r="BQ28" s="1540"/>
      <c r="BR28" s="1520"/>
      <c r="BS28" s="1487"/>
      <c r="BT28" s="1487"/>
      <c r="BU28" s="1540"/>
      <c r="BV28" s="1520"/>
      <c r="BW28" s="1487"/>
      <c r="BX28" s="1487"/>
      <c r="BY28" s="1540"/>
      <c r="BZ28" s="1520"/>
      <c r="CA28" s="1487"/>
      <c r="CB28" s="1487"/>
      <c r="CC28" s="1540"/>
      <c r="CD28" s="1520"/>
      <c r="CE28" s="1487"/>
      <c r="CF28" s="1487"/>
      <c r="CG28" s="1540"/>
      <c r="CH28" s="1520"/>
      <c r="CI28" s="1487"/>
      <c r="CJ28" s="1487"/>
      <c r="CK28" s="1540"/>
      <c r="CL28" s="1520"/>
      <c r="CM28" s="1487"/>
      <c r="CN28" s="1487"/>
      <c r="CO28" s="1540"/>
      <c r="CP28" s="1520"/>
      <c r="CQ28" s="1487"/>
      <c r="CR28" s="1487"/>
      <c r="CS28" s="1540"/>
    </row>
    <row r="29" spans="1:97" ht="16.5">
      <c r="A29" s="1486" t="s">
        <v>510</v>
      </c>
      <c r="B29" s="1543"/>
      <c r="C29" s="1487"/>
      <c r="D29" s="1544"/>
      <c r="E29" s="1540"/>
      <c r="F29" s="1522"/>
      <c r="G29" s="1487"/>
      <c r="H29" s="1487"/>
      <c r="I29" s="1540"/>
      <c r="J29" s="1520"/>
      <c r="K29" s="1487"/>
      <c r="L29" s="1487"/>
      <c r="M29" s="1540"/>
      <c r="N29" s="1520"/>
      <c r="O29" s="1487"/>
      <c r="P29" s="1487"/>
      <c r="Q29" s="1521"/>
      <c r="R29" s="1522"/>
      <c r="S29" s="1487"/>
      <c r="T29" s="1487"/>
      <c r="U29" s="1540"/>
      <c r="V29" s="1520"/>
      <c r="W29" s="1487"/>
      <c r="X29" s="1487"/>
      <c r="Y29" s="1540"/>
      <c r="Z29" s="1520"/>
      <c r="AA29" s="1487"/>
      <c r="AB29" s="1487"/>
      <c r="AC29" s="1540"/>
      <c r="AD29" s="1520"/>
      <c r="AE29" s="1487"/>
      <c r="AF29" s="1487"/>
      <c r="AG29" s="1540"/>
      <c r="AH29" s="1520"/>
      <c r="AI29" s="1487"/>
      <c r="AJ29" s="1487"/>
      <c r="AK29" s="1540"/>
      <c r="AL29" s="1520"/>
      <c r="AM29" s="1487"/>
      <c r="AN29" s="1487"/>
      <c r="AO29" s="1540"/>
      <c r="AP29" s="1520">
        <v>0.74</v>
      </c>
      <c r="AQ29" s="1487">
        <v>10</v>
      </c>
      <c r="AR29" s="1487">
        <v>16</v>
      </c>
      <c r="AS29" s="1540"/>
      <c r="AT29" s="1520"/>
      <c r="AU29" s="1487"/>
      <c r="AV29" s="1487"/>
      <c r="AW29" s="1540"/>
      <c r="AX29" s="1520"/>
      <c r="AY29" s="1487"/>
      <c r="AZ29" s="1487"/>
      <c r="BA29" s="1540"/>
      <c r="BB29" s="1520"/>
      <c r="BC29" s="1487"/>
      <c r="BD29" s="1487"/>
      <c r="BE29" s="1540"/>
      <c r="BF29" s="1520"/>
      <c r="BG29" s="1487"/>
      <c r="BH29" s="1487"/>
      <c r="BI29" s="1540"/>
      <c r="BJ29" s="1520"/>
      <c r="BK29" s="1487"/>
      <c r="BL29" s="1487"/>
      <c r="BM29" s="1540"/>
      <c r="BN29" s="1520"/>
      <c r="BO29" s="1487"/>
      <c r="BP29" s="1487"/>
      <c r="BQ29" s="1540"/>
      <c r="BR29" s="1520"/>
      <c r="BS29" s="1487"/>
      <c r="BT29" s="1487"/>
      <c r="BU29" s="1540"/>
      <c r="BV29" s="1520"/>
      <c r="BW29" s="1487"/>
      <c r="BX29" s="1487"/>
      <c r="BY29" s="1540"/>
      <c r="BZ29" s="1520"/>
      <c r="CA29" s="1487"/>
      <c r="CB29" s="1487"/>
      <c r="CC29" s="1540"/>
      <c r="CD29" s="1520"/>
      <c r="CE29" s="1487"/>
      <c r="CF29" s="1487"/>
      <c r="CG29" s="1540"/>
      <c r="CH29" s="1520"/>
      <c r="CI29" s="1487"/>
      <c r="CJ29" s="1487"/>
      <c r="CK29" s="1540"/>
      <c r="CL29" s="1520"/>
      <c r="CM29" s="1487"/>
      <c r="CN29" s="1487"/>
      <c r="CO29" s="1540"/>
      <c r="CP29" s="1520"/>
      <c r="CQ29" s="1487"/>
      <c r="CR29" s="1487"/>
      <c r="CS29" s="1540"/>
    </row>
    <row r="30" spans="1:97" ht="16.5">
      <c r="A30" s="1486" t="s">
        <v>511</v>
      </c>
      <c r="B30" s="1543"/>
      <c r="C30" s="1487"/>
      <c r="D30" s="1544"/>
      <c r="E30" s="1540"/>
      <c r="F30" s="1522"/>
      <c r="G30" s="1487"/>
      <c r="H30" s="1487"/>
      <c r="I30" s="1540"/>
      <c r="J30" s="1520"/>
      <c r="K30" s="1487"/>
      <c r="L30" s="1487"/>
      <c r="M30" s="1540"/>
      <c r="N30" s="1520"/>
      <c r="O30" s="1487"/>
      <c r="P30" s="1487"/>
      <c r="Q30" s="1521"/>
      <c r="R30" s="1522"/>
      <c r="S30" s="1487"/>
      <c r="T30" s="1487"/>
      <c r="U30" s="1540"/>
      <c r="V30" s="1520"/>
      <c r="W30" s="1487"/>
      <c r="X30" s="1487"/>
      <c r="Y30" s="1540"/>
      <c r="Z30" s="1520"/>
      <c r="AA30" s="1487"/>
      <c r="AB30" s="1487"/>
      <c r="AC30" s="1540"/>
      <c r="AD30" s="1520"/>
      <c r="AE30" s="1487"/>
      <c r="AF30" s="1487"/>
      <c r="AG30" s="1540"/>
      <c r="AH30" s="1520"/>
      <c r="AI30" s="1487"/>
      <c r="AJ30" s="1487"/>
      <c r="AK30" s="1540"/>
      <c r="AL30" s="1520"/>
      <c r="AM30" s="1487"/>
      <c r="AN30" s="1487"/>
      <c r="AO30" s="1540"/>
      <c r="AP30" s="1520">
        <v>8.51</v>
      </c>
      <c r="AQ30" s="1487">
        <v>46</v>
      </c>
      <c r="AR30" s="1487">
        <v>71</v>
      </c>
      <c r="AS30" s="1540"/>
      <c r="AT30" s="1520"/>
      <c r="AU30" s="1487"/>
      <c r="AV30" s="1487"/>
      <c r="AW30" s="1540"/>
      <c r="AX30" s="1520"/>
      <c r="AY30" s="1487"/>
      <c r="AZ30" s="1487"/>
      <c r="BA30" s="1540"/>
      <c r="BB30" s="1520"/>
      <c r="BC30" s="1487"/>
      <c r="BD30" s="1487"/>
      <c r="BE30" s="1540"/>
      <c r="BF30" s="1520"/>
      <c r="BG30" s="1487"/>
      <c r="BH30" s="1487"/>
      <c r="BI30" s="1540"/>
      <c r="BJ30" s="1520"/>
      <c r="BK30" s="1487"/>
      <c r="BL30" s="1487"/>
      <c r="BM30" s="1540"/>
      <c r="BN30" s="1520"/>
      <c r="BO30" s="1487"/>
      <c r="BP30" s="1487"/>
      <c r="BQ30" s="1540"/>
      <c r="BR30" s="1520"/>
      <c r="BS30" s="1487"/>
      <c r="BT30" s="1487"/>
      <c r="BU30" s="1540"/>
      <c r="BV30" s="1520"/>
      <c r="BW30" s="1487"/>
      <c r="BX30" s="1487"/>
      <c r="BY30" s="1540"/>
      <c r="BZ30" s="1520"/>
      <c r="CA30" s="1487"/>
      <c r="CB30" s="1487"/>
      <c r="CC30" s="1540"/>
      <c r="CD30" s="1520"/>
      <c r="CE30" s="1487"/>
      <c r="CF30" s="1487"/>
      <c r="CG30" s="1540"/>
      <c r="CH30" s="1520"/>
      <c r="CI30" s="1487"/>
      <c r="CJ30" s="1487"/>
      <c r="CK30" s="1540"/>
      <c r="CL30" s="1520"/>
      <c r="CM30" s="1487"/>
      <c r="CN30" s="1487"/>
      <c r="CO30" s="1540"/>
      <c r="CP30" s="1520"/>
      <c r="CQ30" s="1487"/>
      <c r="CR30" s="1487"/>
      <c r="CS30" s="1540"/>
    </row>
    <row r="31" spans="1:97" ht="16.5">
      <c r="A31" s="1486" t="s">
        <v>512</v>
      </c>
      <c r="B31" s="1543"/>
      <c r="C31" s="1487"/>
      <c r="D31" s="1544"/>
      <c r="E31" s="1540"/>
      <c r="F31" s="1522"/>
      <c r="G31" s="1487"/>
      <c r="H31" s="1487"/>
      <c r="I31" s="1540"/>
      <c r="J31" s="1520"/>
      <c r="K31" s="1487"/>
      <c r="L31" s="1487"/>
      <c r="M31" s="1540"/>
      <c r="N31" s="1520"/>
      <c r="O31" s="1487"/>
      <c r="P31" s="1487"/>
      <c r="Q31" s="1521"/>
      <c r="R31" s="1522"/>
      <c r="S31" s="1487"/>
      <c r="T31" s="1487"/>
      <c r="U31" s="1540"/>
      <c r="V31" s="1520"/>
      <c r="W31" s="1487"/>
      <c r="X31" s="1487"/>
      <c r="Y31" s="1540"/>
      <c r="Z31" s="1520"/>
      <c r="AA31" s="1487"/>
      <c r="AB31" s="1487"/>
      <c r="AC31" s="1540"/>
      <c r="AD31" s="1520"/>
      <c r="AE31" s="1487"/>
      <c r="AF31" s="1487"/>
      <c r="AG31" s="1540"/>
      <c r="AH31" s="1520"/>
      <c r="AI31" s="1487"/>
      <c r="AJ31" s="1487"/>
      <c r="AK31" s="1540"/>
      <c r="AL31" s="1520"/>
      <c r="AM31" s="1487"/>
      <c r="AN31" s="1487"/>
      <c r="AO31" s="1540"/>
      <c r="AP31" s="1520">
        <v>23.66</v>
      </c>
      <c r="AQ31" s="1487">
        <v>63</v>
      </c>
      <c r="AR31" s="1487">
        <v>104</v>
      </c>
      <c r="AS31" s="1540"/>
      <c r="AT31" s="1520"/>
      <c r="AU31" s="1487"/>
      <c r="AV31" s="1487"/>
      <c r="AW31" s="1540"/>
      <c r="AX31" s="1520"/>
      <c r="AY31" s="1487"/>
      <c r="AZ31" s="1487"/>
      <c r="BA31" s="1540"/>
      <c r="BB31" s="1520"/>
      <c r="BC31" s="1487"/>
      <c r="BD31" s="1487"/>
      <c r="BE31" s="1540"/>
      <c r="BF31" s="1520"/>
      <c r="BG31" s="1487"/>
      <c r="BH31" s="1487"/>
      <c r="BI31" s="1540"/>
      <c r="BJ31" s="1520"/>
      <c r="BK31" s="1487"/>
      <c r="BL31" s="1487"/>
      <c r="BM31" s="1540"/>
      <c r="BN31" s="1520"/>
      <c r="BO31" s="1487"/>
      <c r="BP31" s="1487"/>
      <c r="BQ31" s="1540"/>
      <c r="BR31" s="1520"/>
      <c r="BS31" s="1487"/>
      <c r="BT31" s="1487"/>
      <c r="BU31" s="1540"/>
      <c r="BV31" s="1520"/>
      <c r="BW31" s="1487"/>
      <c r="BX31" s="1487"/>
      <c r="BY31" s="1540"/>
      <c r="BZ31" s="1520"/>
      <c r="CA31" s="1487"/>
      <c r="CB31" s="1487"/>
      <c r="CC31" s="1540"/>
      <c r="CD31" s="1520"/>
      <c r="CE31" s="1487"/>
      <c r="CF31" s="1487"/>
      <c r="CG31" s="1540"/>
      <c r="CH31" s="1520"/>
      <c r="CI31" s="1487"/>
      <c r="CJ31" s="1487"/>
      <c r="CK31" s="1540"/>
      <c r="CL31" s="1520"/>
      <c r="CM31" s="1487"/>
      <c r="CN31" s="1487"/>
      <c r="CO31" s="1540"/>
      <c r="CP31" s="1520"/>
      <c r="CQ31" s="1487"/>
      <c r="CR31" s="1487"/>
      <c r="CS31" s="1540"/>
    </row>
    <row r="32" spans="1:97" ht="16.5">
      <c r="A32" s="1486" t="s">
        <v>513</v>
      </c>
      <c r="B32" s="1543"/>
      <c r="C32" s="1487"/>
      <c r="D32" s="1544"/>
      <c r="E32" s="1540"/>
      <c r="F32" s="1522"/>
      <c r="G32" s="1487"/>
      <c r="H32" s="1487"/>
      <c r="I32" s="1540"/>
      <c r="J32" s="1520"/>
      <c r="K32" s="1487"/>
      <c r="L32" s="1487"/>
      <c r="M32" s="1540"/>
      <c r="N32" s="1520"/>
      <c r="O32" s="1487"/>
      <c r="P32" s="1487"/>
      <c r="Q32" s="1521"/>
      <c r="R32" s="1522"/>
      <c r="S32" s="1487"/>
      <c r="T32" s="1487"/>
      <c r="U32" s="1540"/>
      <c r="V32" s="1520"/>
      <c r="W32" s="1487"/>
      <c r="X32" s="1487"/>
      <c r="Y32" s="1540"/>
      <c r="Z32" s="1520"/>
      <c r="AA32" s="1487"/>
      <c r="AB32" s="1487"/>
      <c r="AC32" s="1540"/>
      <c r="AD32" s="1520"/>
      <c r="AE32" s="1487"/>
      <c r="AF32" s="1487"/>
      <c r="AG32" s="1540"/>
      <c r="AH32" s="1520"/>
      <c r="AI32" s="1487"/>
      <c r="AJ32" s="1487"/>
      <c r="AK32" s="1540"/>
      <c r="AL32" s="1520"/>
      <c r="AM32" s="1487"/>
      <c r="AN32" s="1487"/>
      <c r="AO32" s="1540"/>
      <c r="AP32" s="1520">
        <v>33.33</v>
      </c>
      <c r="AQ32" s="1487">
        <v>56</v>
      </c>
      <c r="AR32" s="1487">
        <v>88</v>
      </c>
      <c r="AS32" s="1540"/>
      <c r="AT32" s="1520"/>
      <c r="AU32" s="1487"/>
      <c r="AV32" s="1487"/>
      <c r="AW32" s="1540"/>
      <c r="AX32" s="1520"/>
      <c r="AY32" s="1487"/>
      <c r="AZ32" s="1487"/>
      <c r="BA32" s="1540"/>
      <c r="BB32" s="1520"/>
      <c r="BC32" s="1487"/>
      <c r="BD32" s="1487"/>
      <c r="BE32" s="1540"/>
      <c r="BF32" s="1520"/>
      <c r="BG32" s="1487"/>
      <c r="BH32" s="1487"/>
      <c r="BI32" s="1540"/>
      <c r="BJ32" s="1520"/>
      <c r="BK32" s="1487"/>
      <c r="BL32" s="1487"/>
      <c r="BM32" s="1540"/>
      <c r="BN32" s="1520"/>
      <c r="BO32" s="1487"/>
      <c r="BP32" s="1487"/>
      <c r="BQ32" s="1540"/>
      <c r="BR32" s="1520"/>
      <c r="BS32" s="1487"/>
      <c r="BT32" s="1487"/>
      <c r="BU32" s="1540"/>
      <c r="BV32" s="1520"/>
      <c r="BW32" s="1487"/>
      <c r="BX32" s="1487"/>
      <c r="BY32" s="1540"/>
      <c r="BZ32" s="1520"/>
      <c r="CA32" s="1487"/>
      <c r="CB32" s="1487"/>
      <c r="CC32" s="1540"/>
      <c r="CD32" s="1520"/>
      <c r="CE32" s="1487"/>
      <c r="CF32" s="1487"/>
      <c r="CG32" s="1540"/>
      <c r="CH32" s="1520"/>
      <c r="CI32" s="1487"/>
      <c r="CJ32" s="1487"/>
      <c r="CK32" s="1540"/>
      <c r="CL32" s="1520"/>
      <c r="CM32" s="1487"/>
      <c r="CN32" s="1487"/>
      <c r="CO32" s="1540"/>
      <c r="CP32" s="1520"/>
      <c r="CQ32" s="1487"/>
      <c r="CR32" s="1487"/>
      <c r="CS32" s="1540"/>
    </row>
    <row r="33" spans="1:97" ht="16.5">
      <c r="A33" s="1486" t="s">
        <v>514</v>
      </c>
      <c r="B33" s="1543"/>
      <c r="C33" s="1487"/>
      <c r="D33" s="1544"/>
      <c r="E33" s="1540"/>
      <c r="F33" s="1522"/>
      <c r="G33" s="1487"/>
      <c r="H33" s="1487"/>
      <c r="I33" s="1540"/>
      <c r="J33" s="1520"/>
      <c r="K33" s="1487"/>
      <c r="L33" s="1487"/>
      <c r="M33" s="1540"/>
      <c r="N33" s="1520"/>
      <c r="O33" s="1487"/>
      <c r="P33" s="1487"/>
      <c r="Q33" s="1521"/>
      <c r="R33" s="1522"/>
      <c r="S33" s="1487"/>
      <c r="T33" s="1487"/>
      <c r="U33" s="1540"/>
      <c r="V33" s="1520"/>
      <c r="W33" s="1487"/>
      <c r="X33" s="1487"/>
      <c r="Y33" s="1540"/>
      <c r="Z33" s="1520"/>
      <c r="AA33" s="1487"/>
      <c r="AB33" s="1487"/>
      <c r="AC33" s="1540"/>
      <c r="AD33" s="1520"/>
      <c r="AE33" s="1487"/>
      <c r="AF33" s="1487"/>
      <c r="AG33" s="1540"/>
      <c r="AH33" s="1520"/>
      <c r="AI33" s="1487"/>
      <c r="AJ33" s="1487"/>
      <c r="AK33" s="1540"/>
      <c r="AL33" s="1520"/>
      <c r="AM33" s="1487"/>
      <c r="AN33" s="1487"/>
      <c r="AO33" s="1540"/>
      <c r="AP33" s="1520">
        <v>42.1</v>
      </c>
      <c r="AQ33" s="1487">
        <v>48</v>
      </c>
      <c r="AR33" s="1487">
        <v>78</v>
      </c>
      <c r="AS33" s="1540"/>
      <c r="AT33" s="1520"/>
      <c r="AU33" s="1487"/>
      <c r="AV33" s="1487"/>
      <c r="AW33" s="1540"/>
      <c r="AX33" s="1520"/>
      <c r="AY33" s="1487"/>
      <c r="AZ33" s="1487"/>
      <c r="BA33" s="1540"/>
      <c r="BB33" s="1520"/>
      <c r="BC33" s="1487"/>
      <c r="BD33" s="1487"/>
      <c r="BE33" s="1540"/>
      <c r="BF33" s="1520"/>
      <c r="BG33" s="1487"/>
      <c r="BH33" s="1487"/>
      <c r="BI33" s="1540"/>
      <c r="BJ33" s="1520"/>
      <c r="BK33" s="1487"/>
      <c r="BL33" s="1487"/>
      <c r="BM33" s="1540"/>
      <c r="BN33" s="1520"/>
      <c r="BO33" s="1487"/>
      <c r="BP33" s="1487"/>
      <c r="BQ33" s="1540"/>
      <c r="BR33" s="1520"/>
      <c r="BS33" s="1487"/>
      <c r="BT33" s="1487"/>
      <c r="BU33" s="1540"/>
      <c r="BV33" s="1520"/>
      <c r="BW33" s="1487"/>
      <c r="BX33" s="1487"/>
      <c r="BY33" s="1540"/>
      <c r="BZ33" s="1520"/>
      <c r="CA33" s="1487"/>
      <c r="CB33" s="1487"/>
      <c r="CC33" s="1540"/>
      <c r="CD33" s="1520"/>
      <c r="CE33" s="1487"/>
      <c r="CF33" s="1487"/>
      <c r="CG33" s="1540"/>
      <c r="CH33" s="1520"/>
      <c r="CI33" s="1487"/>
      <c r="CJ33" s="1487"/>
      <c r="CK33" s="1540"/>
      <c r="CL33" s="1520"/>
      <c r="CM33" s="1487"/>
      <c r="CN33" s="1487"/>
      <c r="CO33" s="1540"/>
      <c r="CP33" s="1520"/>
      <c r="CQ33" s="1487"/>
      <c r="CR33" s="1487"/>
      <c r="CS33" s="1540"/>
    </row>
    <row r="34" spans="1:97" ht="16.5">
      <c r="A34" s="1486" t="s">
        <v>515</v>
      </c>
      <c r="B34" s="1543"/>
      <c r="C34" s="1487"/>
      <c r="D34" s="1544"/>
      <c r="E34" s="1540"/>
      <c r="F34" s="1522"/>
      <c r="G34" s="1487"/>
      <c r="H34" s="1487"/>
      <c r="I34" s="1540"/>
      <c r="J34" s="1520"/>
      <c r="K34" s="1487"/>
      <c r="L34" s="1487"/>
      <c r="M34" s="1540"/>
      <c r="N34" s="1520"/>
      <c r="O34" s="1487"/>
      <c r="P34" s="1487"/>
      <c r="Q34" s="1521"/>
      <c r="R34" s="1522"/>
      <c r="S34" s="1487"/>
      <c r="T34" s="1487"/>
      <c r="U34" s="1540"/>
      <c r="V34" s="1520"/>
      <c r="W34" s="1487"/>
      <c r="X34" s="1487"/>
      <c r="Y34" s="1540"/>
      <c r="Z34" s="1520"/>
      <c r="AA34" s="1487"/>
      <c r="AB34" s="1487"/>
      <c r="AC34" s="1540"/>
      <c r="AD34" s="1520"/>
      <c r="AE34" s="1487"/>
      <c r="AF34" s="1487"/>
      <c r="AG34" s="1540"/>
      <c r="AH34" s="1520"/>
      <c r="AI34" s="1487"/>
      <c r="AJ34" s="1487"/>
      <c r="AK34" s="1540"/>
      <c r="AL34" s="1520"/>
      <c r="AM34" s="1487"/>
      <c r="AN34" s="1487"/>
      <c r="AO34" s="1540"/>
      <c r="AP34" s="1520">
        <v>54.48</v>
      </c>
      <c r="AQ34" s="1487">
        <v>48</v>
      </c>
      <c r="AR34" s="1487">
        <v>83</v>
      </c>
      <c r="AS34" s="1540"/>
      <c r="AT34" s="1520"/>
      <c r="AU34" s="1487"/>
      <c r="AV34" s="1487"/>
      <c r="AW34" s="1540"/>
      <c r="AX34" s="1520"/>
      <c r="AY34" s="1487"/>
      <c r="AZ34" s="1487"/>
      <c r="BA34" s="1540"/>
      <c r="BB34" s="1520"/>
      <c r="BC34" s="1487"/>
      <c r="BD34" s="1487"/>
      <c r="BE34" s="1540"/>
      <c r="BF34" s="1520"/>
      <c r="BG34" s="1487"/>
      <c r="BH34" s="1487"/>
      <c r="BI34" s="1540"/>
      <c r="BJ34" s="1520"/>
      <c r="BK34" s="1487"/>
      <c r="BL34" s="1487"/>
      <c r="BM34" s="1540"/>
      <c r="BN34" s="1520"/>
      <c r="BO34" s="1487"/>
      <c r="BP34" s="1487"/>
      <c r="BQ34" s="1540"/>
      <c r="BR34" s="1520"/>
      <c r="BS34" s="1487"/>
      <c r="BT34" s="1487"/>
      <c r="BU34" s="1540"/>
      <c r="BV34" s="1520"/>
      <c r="BW34" s="1487"/>
      <c r="BX34" s="1487"/>
      <c r="BY34" s="1540"/>
      <c r="BZ34" s="1520"/>
      <c r="CA34" s="1487"/>
      <c r="CB34" s="1487"/>
      <c r="CC34" s="1540"/>
      <c r="CD34" s="1520"/>
      <c r="CE34" s="1487"/>
      <c r="CF34" s="1487"/>
      <c r="CG34" s="1540"/>
      <c r="CH34" s="1520"/>
      <c r="CI34" s="1487"/>
      <c r="CJ34" s="1487"/>
      <c r="CK34" s="1540"/>
      <c r="CL34" s="1520"/>
      <c r="CM34" s="1487"/>
      <c r="CN34" s="1487"/>
      <c r="CO34" s="1540"/>
      <c r="CP34" s="1520"/>
      <c r="CQ34" s="1487"/>
      <c r="CR34" s="1487"/>
      <c r="CS34" s="1540"/>
    </row>
    <row r="35" spans="1:97" ht="16.5">
      <c r="A35" s="1486" t="s">
        <v>516</v>
      </c>
      <c r="B35" s="1543"/>
      <c r="C35" s="1487"/>
      <c r="D35" s="1544"/>
      <c r="E35" s="1540"/>
      <c r="F35" s="1522"/>
      <c r="G35" s="1487"/>
      <c r="H35" s="1487"/>
      <c r="I35" s="1540"/>
      <c r="J35" s="1520"/>
      <c r="K35" s="1487"/>
      <c r="L35" s="1487"/>
      <c r="M35" s="1540"/>
      <c r="N35" s="1520"/>
      <c r="O35" s="1487"/>
      <c r="P35" s="1487"/>
      <c r="Q35" s="1521"/>
      <c r="R35" s="1522"/>
      <c r="S35" s="1487"/>
      <c r="T35" s="1487"/>
      <c r="U35" s="1540"/>
      <c r="V35" s="1520"/>
      <c r="W35" s="1487"/>
      <c r="X35" s="1487"/>
      <c r="Y35" s="1540"/>
      <c r="Z35" s="1520"/>
      <c r="AA35" s="1487"/>
      <c r="AB35" s="1487"/>
      <c r="AC35" s="1540"/>
      <c r="AD35" s="1520"/>
      <c r="AE35" s="1487"/>
      <c r="AF35" s="1487"/>
      <c r="AG35" s="1540"/>
      <c r="AH35" s="1520"/>
      <c r="AI35" s="1487"/>
      <c r="AJ35" s="1487"/>
      <c r="AK35" s="1540"/>
      <c r="AL35" s="1520"/>
      <c r="AM35" s="1487"/>
      <c r="AN35" s="1487"/>
      <c r="AO35" s="1540"/>
      <c r="AP35" s="1520">
        <v>12605.5</v>
      </c>
      <c r="AQ35" s="1487">
        <v>631</v>
      </c>
      <c r="AR35" s="1487">
        <v>1060</v>
      </c>
      <c r="AS35" s="1540"/>
      <c r="AT35" s="1520"/>
      <c r="AU35" s="1487"/>
      <c r="AV35" s="1487"/>
      <c r="AW35" s="1540"/>
      <c r="AX35" s="1520"/>
      <c r="AY35" s="1487"/>
      <c r="AZ35" s="1487"/>
      <c r="BA35" s="1540"/>
      <c r="BB35" s="1520"/>
      <c r="BC35" s="1487"/>
      <c r="BD35" s="1487"/>
      <c r="BE35" s="1540"/>
      <c r="BF35" s="1520"/>
      <c r="BG35" s="1487"/>
      <c r="BH35" s="1487"/>
      <c r="BI35" s="1540"/>
      <c r="BJ35" s="1520"/>
      <c r="BK35" s="1487"/>
      <c r="BL35" s="1487"/>
      <c r="BM35" s="1540"/>
      <c r="BN35" s="1520"/>
      <c r="BO35" s="1487"/>
      <c r="BP35" s="1487"/>
      <c r="BQ35" s="1540"/>
      <c r="BR35" s="1520"/>
      <c r="BS35" s="1487"/>
      <c r="BT35" s="1487"/>
      <c r="BU35" s="1540"/>
      <c r="BV35" s="1520"/>
      <c r="BW35" s="1487"/>
      <c r="BX35" s="1487"/>
      <c r="BY35" s="1540"/>
      <c r="BZ35" s="1520"/>
      <c r="CA35" s="1487"/>
      <c r="CB35" s="1487"/>
      <c r="CC35" s="1540"/>
      <c r="CD35" s="1520"/>
      <c r="CE35" s="1487"/>
      <c r="CF35" s="1487"/>
      <c r="CG35" s="1540"/>
      <c r="CH35" s="1520"/>
      <c r="CI35" s="1487"/>
      <c r="CJ35" s="1487"/>
      <c r="CK35" s="1540"/>
      <c r="CL35" s="1520"/>
      <c r="CM35" s="1487"/>
      <c r="CN35" s="1487"/>
      <c r="CO35" s="1540"/>
      <c r="CP35" s="1520"/>
      <c r="CQ35" s="1487"/>
      <c r="CR35" s="1487"/>
      <c r="CS35" s="1540"/>
    </row>
    <row r="36" spans="1:97" ht="16.5">
      <c r="A36" s="1485" t="s">
        <v>519</v>
      </c>
      <c r="B36" s="1522"/>
      <c r="C36" s="1487"/>
      <c r="D36" s="1487"/>
      <c r="E36" s="1540"/>
      <c r="F36" s="1522"/>
      <c r="G36" s="1487"/>
      <c r="H36" s="1487"/>
      <c r="I36" s="1540"/>
      <c r="J36" s="1520"/>
      <c r="K36" s="1487"/>
      <c r="L36" s="1487"/>
      <c r="M36" s="1540"/>
      <c r="N36" s="1520"/>
      <c r="O36" s="1487"/>
      <c r="P36" s="1487"/>
      <c r="Q36" s="1521"/>
      <c r="R36" s="1522"/>
      <c r="S36" s="1487"/>
      <c r="T36" s="1487"/>
      <c r="U36" s="1540"/>
      <c r="V36" s="1520"/>
      <c r="W36" s="1487"/>
      <c r="X36" s="1487"/>
      <c r="Y36" s="1540"/>
      <c r="Z36" s="1520"/>
      <c r="AA36" s="1487"/>
      <c r="AB36" s="1487"/>
      <c r="AC36" s="1540"/>
      <c r="AD36" s="1520"/>
      <c r="AE36" s="1487"/>
      <c r="AF36" s="1487"/>
      <c r="AG36" s="1540"/>
      <c r="AH36" s="1520"/>
      <c r="AI36" s="1487"/>
      <c r="AJ36" s="1487"/>
      <c r="AK36" s="1540"/>
      <c r="AL36" s="1520"/>
      <c r="AM36" s="1487"/>
      <c r="AN36" s="1487"/>
      <c r="AO36" s="1540"/>
      <c r="AP36" s="1520"/>
      <c r="AQ36" s="1487"/>
      <c r="AR36" s="1487"/>
      <c r="AS36" s="1540"/>
      <c r="AT36" s="1520"/>
      <c r="AU36" s="1487"/>
      <c r="AV36" s="1487"/>
      <c r="AW36" s="1540"/>
      <c r="AX36" s="1520"/>
      <c r="AY36" s="1487"/>
      <c r="AZ36" s="1487"/>
      <c r="BA36" s="1540"/>
      <c r="BB36" s="1520"/>
      <c r="BC36" s="1487"/>
      <c r="BD36" s="1487"/>
      <c r="BE36" s="1540"/>
      <c r="BF36" s="1520"/>
      <c r="BG36" s="1487"/>
      <c r="BH36" s="1487"/>
      <c r="BI36" s="1540"/>
      <c r="BJ36" s="1520"/>
      <c r="BK36" s="1487"/>
      <c r="BL36" s="1487"/>
      <c r="BM36" s="1540"/>
      <c r="BN36" s="1520"/>
      <c r="BO36" s="1487"/>
      <c r="BP36" s="1487"/>
      <c r="BQ36" s="1540"/>
      <c r="BR36" s="1520"/>
      <c r="BS36" s="1487"/>
      <c r="BT36" s="1487"/>
      <c r="BU36" s="1540"/>
      <c r="BV36" s="1520"/>
      <c r="BW36" s="1487"/>
      <c r="BX36" s="1487"/>
      <c r="BY36" s="1540"/>
      <c r="BZ36" s="1520"/>
      <c r="CA36" s="1487"/>
      <c r="CB36" s="1487"/>
      <c r="CC36" s="1540"/>
      <c r="CD36" s="1520"/>
      <c r="CE36" s="1487"/>
      <c r="CF36" s="1487"/>
      <c r="CG36" s="1540"/>
      <c r="CH36" s="1520"/>
      <c r="CI36" s="1487"/>
      <c r="CJ36" s="1487"/>
      <c r="CK36" s="1540"/>
      <c r="CL36" s="1520"/>
      <c r="CM36" s="1487"/>
      <c r="CN36" s="1487"/>
      <c r="CO36" s="1540"/>
      <c r="CP36" s="1520"/>
      <c r="CQ36" s="1487"/>
      <c r="CR36" s="1487"/>
      <c r="CS36" s="1540"/>
    </row>
    <row r="37" spans="1:97" ht="16.5">
      <c r="A37" s="1486" t="s">
        <v>502</v>
      </c>
      <c r="B37" s="1522">
        <v>23048</v>
      </c>
      <c r="C37" s="1487">
        <v>81178</v>
      </c>
      <c r="D37" s="1487">
        <v>81178</v>
      </c>
      <c r="E37" s="1540">
        <v>1228747</v>
      </c>
      <c r="F37" s="1522">
        <v>596</v>
      </c>
      <c r="G37" s="1487">
        <v>7207</v>
      </c>
      <c r="H37" s="1487">
        <v>6579</v>
      </c>
      <c r="I37" s="1540">
        <v>456547</v>
      </c>
      <c r="J37" s="1520"/>
      <c r="K37" s="1487"/>
      <c r="L37" s="1487"/>
      <c r="M37" s="1540"/>
      <c r="N37" s="1487">
        <v>4005</v>
      </c>
      <c r="O37" s="1487">
        <v>47829</v>
      </c>
      <c r="P37" s="1521">
        <v>47033</v>
      </c>
      <c r="Q37" s="1522">
        <v>161447</v>
      </c>
      <c r="R37" s="1522">
        <v>3.59</v>
      </c>
      <c r="S37" s="1487">
        <v>65610</v>
      </c>
      <c r="T37" s="1487">
        <v>65283</v>
      </c>
      <c r="U37" s="1540">
        <v>3106.96</v>
      </c>
      <c r="V37" s="1520">
        <v>800.3</v>
      </c>
      <c r="W37" s="1487">
        <v>26349</v>
      </c>
      <c r="X37" s="1487">
        <v>20858</v>
      </c>
      <c r="Y37" s="1540">
        <v>521544.3</v>
      </c>
      <c r="Z37" s="1520">
        <v>97.48</v>
      </c>
      <c r="AA37" s="1487">
        <v>1223</v>
      </c>
      <c r="AB37" s="1487">
        <v>1268</v>
      </c>
      <c r="AC37" s="1540">
        <v>7613.09</v>
      </c>
      <c r="AD37" s="1520">
        <v>6.15</v>
      </c>
      <c r="AE37" s="1487">
        <v>10082</v>
      </c>
      <c r="AF37" s="1487">
        <v>9246</v>
      </c>
      <c r="AG37" s="1540">
        <v>3249.5</v>
      </c>
      <c r="AH37" s="1520">
        <v>1036.35</v>
      </c>
      <c r="AI37" s="1487">
        <v>14147</v>
      </c>
      <c r="AJ37" s="1487">
        <v>14091</v>
      </c>
      <c r="AK37" s="1540">
        <v>154670.35</v>
      </c>
      <c r="AL37" s="1520">
        <v>1539</v>
      </c>
      <c r="AM37" s="1487">
        <v>7411</v>
      </c>
      <c r="AN37" s="1487">
        <v>7146</v>
      </c>
      <c r="AO37" s="1540">
        <v>93089</v>
      </c>
      <c r="AP37" s="1520">
        <v>3489.01</v>
      </c>
      <c r="AQ37" s="1487">
        <v>85290</v>
      </c>
      <c r="AR37" s="1487">
        <v>85290</v>
      </c>
      <c r="AS37" s="1540">
        <v>2256506.55</v>
      </c>
      <c r="AT37" s="1520">
        <v>4239.3</v>
      </c>
      <c r="AU37" s="1487">
        <v>135466</v>
      </c>
      <c r="AV37" s="1487">
        <v>134801</v>
      </c>
      <c r="AW37" s="1540">
        <v>3168539.5</v>
      </c>
      <c r="AX37" s="1520">
        <v>1.22</v>
      </c>
      <c r="AY37" s="1487">
        <v>2819</v>
      </c>
      <c r="AZ37" s="1487">
        <v>2657</v>
      </c>
      <c r="BA37" s="1540">
        <v>661.34</v>
      </c>
      <c r="BB37" s="1520"/>
      <c r="BC37" s="1487"/>
      <c r="BD37" s="1487"/>
      <c r="BE37" s="1540"/>
      <c r="BF37" s="1520">
        <v>786.43</v>
      </c>
      <c r="BG37" s="1487">
        <v>12230</v>
      </c>
      <c r="BH37" s="1487">
        <v>12118</v>
      </c>
      <c r="BI37" s="1540">
        <v>734466.97</v>
      </c>
      <c r="BJ37" s="1520">
        <v>63.2</v>
      </c>
      <c r="BK37" s="1487">
        <v>79855</v>
      </c>
      <c r="BL37" s="1487">
        <v>73165</v>
      </c>
      <c r="BM37" s="1540">
        <v>33972.58</v>
      </c>
      <c r="BN37" s="1520">
        <v>652</v>
      </c>
      <c r="BO37" s="1487">
        <v>-11</v>
      </c>
      <c r="BP37" s="1487">
        <v>220</v>
      </c>
      <c r="BQ37" s="1540">
        <v>631</v>
      </c>
      <c r="BR37" s="1520">
        <v>264</v>
      </c>
      <c r="BS37" s="1487">
        <v>6695</v>
      </c>
      <c r="BT37" s="1487">
        <v>3938</v>
      </c>
      <c r="BU37" s="1540">
        <v>73184</v>
      </c>
      <c r="BV37" s="1520"/>
      <c r="BW37" s="1487"/>
      <c r="BX37" s="1487"/>
      <c r="BY37" s="1540"/>
      <c r="BZ37" s="1520">
        <v>78</v>
      </c>
      <c r="CA37" s="1487">
        <f aca="true" t="shared" si="0" ref="CA37:CA42">CB37</f>
        <v>143895</v>
      </c>
      <c r="CB37" s="1487">
        <v>143895</v>
      </c>
      <c r="CC37" s="1540">
        <v>10229</v>
      </c>
      <c r="CD37" s="1520">
        <v>5688.51</v>
      </c>
      <c r="CE37" s="1520">
        <v>135987</v>
      </c>
      <c r="CF37" s="1487">
        <v>133255</v>
      </c>
      <c r="CG37" s="1540">
        <v>577243.39</v>
      </c>
      <c r="CH37" s="1520">
        <v>658.15</v>
      </c>
      <c r="CI37" s="1487">
        <v>8597</v>
      </c>
      <c r="CJ37" s="1487">
        <v>8597</v>
      </c>
      <c r="CK37" s="1540">
        <v>48376.16</v>
      </c>
      <c r="CL37" s="1520">
        <v>1391</v>
      </c>
      <c r="CM37" s="1487">
        <v>107798</v>
      </c>
      <c r="CN37" s="1487">
        <v>88688</v>
      </c>
      <c r="CO37" s="1540">
        <v>1212128</v>
      </c>
      <c r="CP37" s="1520"/>
      <c r="CQ37" s="1487"/>
      <c r="CR37" s="1487"/>
      <c r="CS37" s="1540"/>
    </row>
    <row r="38" spans="1:97" ht="16.5">
      <c r="A38" s="1486" t="s">
        <v>503</v>
      </c>
      <c r="B38" s="1541">
        <v>10484</v>
      </c>
      <c r="C38" s="1487">
        <v>55463</v>
      </c>
      <c r="D38" s="1487">
        <v>55463</v>
      </c>
      <c r="E38" s="1540">
        <v>881459</v>
      </c>
      <c r="F38" s="1522">
        <v>1538</v>
      </c>
      <c r="G38" s="1487">
        <v>8709</v>
      </c>
      <c r="H38" s="1487">
        <v>7355</v>
      </c>
      <c r="I38" s="1540">
        <v>709643</v>
      </c>
      <c r="J38" s="1520"/>
      <c r="K38" s="1487"/>
      <c r="M38" s="1540"/>
      <c r="N38" s="1487">
        <v>17085</v>
      </c>
      <c r="O38" s="1487">
        <v>87874</v>
      </c>
      <c r="P38" s="1521">
        <v>81893</v>
      </c>
      <c r="Q38" s="1522">
        <v>534093</v>
      </c>
      <c r="R38" s="1522">
        <v>105</v>
      </c>
      <c r="S38" s="1487">
        <v>59327</v>
      </c>
      <c r="T38" s="1487">
        <v>59293</v>
      </c>
      <c r="U38" s="1540">
        <v>2429.56</v>
      </c>
      <c r="V38" s="1520">
        <v>9077.4</v>
      </c>
      <c r="W38" s="1487">
        <v>44725</v>
      </c>
      <c r="X38" s="1487">
        <v>43839</v>
      </c>
      <c r="Y38" s="1540">
        <v>371605.2</v>
      </c>
      <c r="Z38" s="1520">
        <v>1184.23</v>
      </c>
      <c r="AA38" s="1487">
        <v>6361</v>
      </c>
      <c r="AB38" s="1487">
        <v>6251</v>
      </c>
      <c r="AC38" s="1540">
        <v>16284.7</v>
      </c>
      <c r="AD38" s="1520">
        <v>42.67</v>
      </c>
      <c r="AE38" s="1487">
        <v>27803</v>
      </c>
      <c r="AF38" s="1487">
        <v>26086</v>
      </c>
      <c r="AG38" s="1540">
        <v>9419.2</v>
      </c>
      <c r="AH38" s="1520">
        <v>17142.35</v>
      </c>
      <c r="AI38" s="1487">
        <v>96986</v>
      </c>
      <c r="AJ38" s="1487">
        <v>95480</v>
      </c>
      <c r="AK38" s="1540">
        <v>676561.28</v>
      </c>
      <c r="AL38" s="1520">
        <v>4521</v>
      </c>
      <c r="AM38" s="1487">
        <v>21526</v>
      </c>
      <c r="AN38" s="1487">
        <v>20857</v>
      </c>
      <c r="AO38" s="1540">
        <v>167252</v>
      </c>
      <c r="AP38" s="1520">
        <v>36600.61</v>
      </c>
      <c r="AQ38" s="1487">
        <v>218032</v>
      </c>
      <c r="AR38" s="1487">
        <v>221228</v>
      </c>
      <c r="AS38" s="1540">
        <v>7122136.51</v>
      </c>
      <c r="AT38" s="1520">
        <v>23847.3</v>
      </c>
      <c r="AU38" s="1487">
        <v>157433</v>
      </c>
      <c r="AV38" s="1487">
        <v>154726</v>
      </c>
      <c r="AW38" s="1540">
        <v>7748297.9</v>
      </c>
      <c r="AX38" s="1520">
        <v>10.71</v>
      </c>
      <c r="AY38" s="1487">
        <v>5994</v>
      </c>
      <c r="AZ38" s="1487">
        <v>5965</v>
      </c>
      <c r="BA38" s="1540">
        <v>1289.49</v>
      </c>
      <c r="BB38" s="1520"/>
      <c r="BC38" s="1487"/>
      <c r="BD38" s="1487"/>
      <c r="BE38" s="1540"/>
      <c r="BF38" s="1520">
        <v>13304.07</v>
      </c>
      <c r="BG38" s="1487">
        <v>67373</v>
      </c>
      <c r="BH38" s="1487">
        <v>56012</v>
      </c>
      <c r="BI38" s="1540">
        <v>1419965.81</v>
      </c>
      <c r="BJ38" s="1520">
        <v>171.58</v>
      </c>
      <c r="BK38" s="1487">
        <v>109507</v>
      </c>
      <c r="BL38" s="1487">
        <v>101427</v>
      </c>
      <c r="BM38" s="1540">
        <v>61516.82</v>
      </c>
      <c r="BN38" s="1520">
        <v>7787</v>
      </c>
      <c r="BO38" s="1487">
        <v>35718</v>
      </c>
      <c r="BP38" s="1487">
        <v>34346</v>
      </c>
      <c r="BQ38" s="1540">
        <v>893117</v>
      </c>
      <c r="BR38" s="1520">
        <v>16601</v>
      </c>
      <c r="BS38" s="1487">
        <v>87685</v>
      </c>
      <c r="BT38" s="1487">
        <v>85009</v>
      </c>
      <c r="BU38" s="1540">
        <v>292396</v>
      </c>
      <c r="BV38" s="1520"/>
      <c r="BW38" s="1487"/>
      <c r="BX38" s="1487"/>
      <c r="BY38" s="1540"/>
      <c r="BZ38" s="1520">
        <v>669</v>
      </c>
      <c r="CA38" s="1487">
        <f t="shared" si="0"/>
        <v>406526</v>
      </c>
      <c r="CB38" s="1487">
        <v>406526</v>
      </c>
      <c r="CC38" s="1540">
        <v>31896</v>
      </c>
      <c r="CD38" s="1520">
        <v>14875.68</v>
      </c>
      <c r="CE38" s="1520">
        <v>88288</v>
      </c>
      <c r="CF38" s="1487">
        <v>85853</v>
      </c>
      <c r="CG38" s="1540">
        <v>153849.46</v>
      </c>
      <c r="CH38" s="1520">
        <v>1815.59</v>
      </c>
      <c r="CI38" s="1487">
        <v>8190</v>
      </c>
      <c r="CJ38" s="1487">
        <v>8190</v>
      </c>
      <c r="CK38" s="1540">
        <v>58539.24</v>
      </c>
      <c r="CL38" s="1520">
        <v>22787</v>
      </c>
      <c r="CM38" s="1487">
        <v>128841</v>
      </c>
      <c r="CN38" s="1487">
        <v>122726</v>
      </c>
      <c r="CO38" s="1540">
        <v>6226892</v>
      </c>
      <c r="CP38" s="1520"/>
      <c r="CQ38" s="1487"/>
      <c r="CR38" s="1487"/>
      <c r="CS38" s="1540"/>
    </row>
    <row r="39" spans="1:97" ht="16.5">
      <c r="A39" s="1486" t="s">
        <v>504</v>
      </c>
      <c r="B39" s="1541">
        <v>20814</v>
      </c>
      <c r="C39" s="1487">
        <v>53451</v>
      </c>
      <c r="D39" s="1487">
        <v>53451</v>
      </c>
      <c r="E39" s="1540">
        <v>737124</v>
      </c>
      <c r="F39" s="1522">
        <v>1383</v>
      </c>
      <c r="G39" s="1487">
        <v>3707</v>
      </c>
      <c r="H39" s="1487">
        <v>2801</v>
      </c>
      <c r="I39" s="1540">
        <v>171853</v>
      </c>
      <c r="J39" s="1520"/>
      <c r="K39" s="1487"/>
      <c r="L39" s="1487"/>
      <c r="M39" s="1540"/>
      <c r="N39" s="1487">
        <v>27555</v>
      </c>
      <c r="O39" s="1487">
        <v>72940</v>
      </c>
      <c r="P39" s="1521">
        <v>63286</v>
      </c>
      <c r="Q39" s="1522">
        <v>529292</v>
      </c>
      <c r="R39" s="1522">
        <v>159.62</v>
      </c>
      <c r="S39" s="1487">
        <v>43461</v>
      </c>
      <c r="T39" s="1487">
        <v>43680</v>
      </c>
      <c r="U39" s="1540">
        <v>2476.27</v>
      </c>
      <c r="V39" s="1520">
        <v>16084.4</v>
      </c>
      <c r="W39" s="1487">
        <v>38612</v>
      </c>
      <c r="X39" s="1487">
        <v>37747</v>
      </c>
      <c r="Y39" s="1540">
        <v>183044.6</v>
      </c>
      <c r="Z39" s="1520">
        <v>9224.3</v>
      </c>
      <c r="AA39" s="1487">
        <v>25.31</v>
      </c>
      <c r="AB39" s="1487">
        <v>24720</v>
      </c>
      <c r="AC39" s="1540">
        <v>66334.56</v>
      </c>
      <c r="AD39" s="1520">
        <v>68.73</v>
      </c>
      <c r="AE39" s="1487">
        <v>19941</v>
      </c>
      <c r="AF39" s="1487">
        <v>18634</v>
      </c>
      <c r="AG39" s="1540">
        <v>3479.9</v>
      </c>
      <c r="AH39" s="1520">
        <v>16961.68</v>
      </c>
      <c r="AI39" s="1487">
        <v>48153</v>
      </c>
      <c r="AJ39" s="1487">
        <v>47421</v>
      </c>
      <c r="AK39" s="1540">
        <v>348997.69</v>
      </c>
      <c r="AL39" s="1520">
        <v>7673</v>
      </c>
      <c r="AM39" s="1487">
        <v>21108</v>
      </c>
      <c r="AN39" s="1487">
        <v>19901</v>
      </c>
      <c r="AO39" s="1540">
        <v>183422</v>
      </c>
      <c r="AP39" s="1520">
        <v>109998.51</v>
      </c>
      <c r="AQ39" s="1487">
        <v>286728</v>
      </c>
      <c r="AR39" s="1487">
        <v>288776</v>
      </c>
      <c r="AS39" s="1540">
        <v>5316567.45</v>
      </c>
      <c r="AT39" s="1520">
        <v>71414.3</v>
      </c>
      <c r="AU39" s="1487">
        <v>171907</v>
      </c>
      <c r="AV39" s="1487">
        <v>168786</v>
      </c>
      <c r="AW39" s="1540">
        <v>5092272.1</v>
      </c>
      <c r="AX39" s="1520">
        <v>57.73</v>
      </c>
      <c r="AY39" s="1487">
        <v>17266</v>
      </c>
      <c r="AZ39" s="1487">
        <v>15230</v>
      </c>
      <c r="BA39" s="1540">
        <v>891.34</v>
      </c>
      <c r="BB39" s="1520"/>
      <c r="BC39" s="1487"/>
      <c r="BD39" s="1487"/>
      <c r="BE39" s="1540"/>
      <c r="BF39" s="1520">
        <v>36220.91</v>
      </c>
      <c r="BG39" s="1487">
        <v>104469</v>
      </c>
      <c r="BH39" s="1487">
        <v>100680</v>
      </c>
      <c r="BI39" s="1540">
        <v>1071958.76</v>
      </c>
      <c r="BJ39" s="1520">
        <v>643.08</v>
      </c>
      <c r="BK39" s="1487">
        <v>163153</v>
      </c>
      <c r="BL39" s="1487">
        <v>153151</v>
      </c>
      <c r="BM39" s="1540">
        <v>30819.41</v>
      </c>
      <c r="BN39" s="1520">
        <v>24608</v>
      </c>
      <c r="BO39" s="1487">
        <v>58376</v>
      </c>
      <c r="BP39" s="1487">
        <v>54991</v>
      </c>
      <c r="BQ39" s="1540">
        <v>668569</v>
      </c>
      <c r="BR39" s="1520">
        <v>24841</v>
      </c>
      <c r="BS39" s="1487">
        <v>72608</v>
      </c>
      <c r="BT39" s="1487">
        <v>68255</v>
      </c>
      <c r="BU39" s="1540">
        <v>362486</v>
      </c>
      <c r="BV39" s="1520"/>
      <c r="BW39" s="1487"/>
      <c r="BX39" s="1487"/>
      <c r="BY39" s="1540"/>
      <c r="BZ39" s="1520">
        <v>2153</v>
      </c>
      <c r="CA39" s="1487">
        <f t="shared" si="0"/>
        <v>510086</v>
      </c>
      <c r="CB39" s="1487">
        <v>510086</v>
      </c>
      <c r="CC39" s="1540">
        <v>31456</v>
      </c>
      <c r="CD39" s="1520">
        <v>10603.76</v>
      </c>
      <c r="CE39" s="1520">
        <v>29447</v>
      </c>
      <c r="CF39" s="1487">
        <v>27993</v>
      </c>
      <c r="CG39" s="1540">
        <v>102010.94</v>
      </c>
      <c r="CH39" s="1520">
        <v>10261.91</v>
      </c>
      <c r="CI39" s="1487">
        <v>25731</v>
      </c>
      <c r="CJ39" s="1487">
        <v>25731</v>
      </c>
      <c r="CK39" s="1540">
        <v>125306.26</v>
      </c>
      <c r="CL39" s="1520">
        <v>43522</v>
      </c>
      <c r="CM39" s="1487">
        <v>117645</v>
      </c>
      <c r="CN39" s="1487">
        <v>111316</v>
      </c>
      <c r="CO39" s="1540">
        <v>5402880</v>
      </c>
      <c r="CP39" s="1520"/>
      <c r="CQ39" s="1487"/>
      <c r="CR39" s="1487"/>
      <c r="CS39" s="1540"/>
    </row>
    <row r="40" spans="1:97" ht="16.5">
      <c r="A40" s="1486" t="s">
        <v>505</v>
      </c>
      <c r="B40" s="1541">
        <v>15844</v>
      </c>
      <c r="C40" s="1487">
        <v>25767</v>
      </c>
      <c r="D40" s="1487">
        <v>25767</v>
      </c>
      <c r="E40" s="1540">
        <v>449011</v>
      </c>
      <c r="F40" s="1522">
        <v>501</v>
      </c>
      <c r="G40" s="1487">
        <v>826</v>
      </c>
      <c r="H40" s="1487">
        <v>610</v>
      </c>
      <c r="I40" s="1540">
        <v>41592</v>
      </c>
      <c r="J40" s="1520"/>
      <c r="K40" s="1487"/>
      <c r="L40" s="1487"/>
      <c r="N40" s="1487">
        <v>23397</v>
      </c>
      <c r="O40" s="1487">
        <v>39825</v>
      </c>
      <c r="P40" s="1521">
        <v>33085</v>
      </c>
      <c r="Q40" s="1522">
        <v>428657</v>
      </c>
      <c r="R40" s="1522">
        <v>70.23</v>
      </c>
      <c r="S40" s="1487">
        <v>11810</v>
      </c>
      <c r="T40" s="1487">
        <v>11864</v>
      </c>
      <c r="U40" s="1540">
        <v>987.05</v>
      </c>
      <c r="V40" s="1520">
        <v>3689.6</v>
      </c>
      <c r="W40" s="1487">
        <v>6234</v>
      </c>
      <c r="X40" s="1487">
        <v>6071</v>
      </c>
      <c r="Y40" s="1540">
        <v>41689.7</v>
      </c>
      <c r="Z40" s="1520">
        <v>3612.81</v>
      </c>
      <c r="AA40" s="1487">
        <v>5583</v>
      </c>
      <c r="AB40" s="1487">
        <v>5538</v>
      </c>
      <c r="AC40" s="1540">
        <v>38727.28</v>
      </c>
      <c r="AD40" s="1520">
        <v>38.07</v>
      </c>
      <c r="AE40" s="1487">
        <v>6750</v>
      </c>
      <c r="AF40" s="1487">
        <v>6248</v>
      </c>
      <c r="AG40" s="1540">
        <v>989.3</v>
      </c>
      <c r="AH40" s="1520">
        <v>7459.46</v>
      </c>
      <c r="AI40" s="1487">
        <v>12485</v>
      </c>
      <c r="AJ40" s="1487">
        <v>12312</v>
      </c>
      <c r="AK40" s="1540">
        <v>132388.22</v>
      </c>
      <c r="AL40" s="1520">
        <v>3576</v>
      </c>
      <c r="AM40" s="1487">
        <v>6059</v>
      </c>
      <c r="AN40" s="1487">
        <v>5577</v>
      </c>
      <c r="AO40" s="1540">
        <v>64541</v>
      </c>
      <c r="AP40" s="1520">
        <v>36728.38</v>
      </c>
      <c r="AQ40" s="1487">
        <v>65767</v>
      </c>
      <c r="AR40" s="1487">
        <v>67532</v>
      </c>
      <c r="AS40" s="1540">
        <v>1873291.92</v>
      </c>
      <c r="AT40" s="1520">
        <v>39871.9</v>
      </c>
      <c r="AU40" s="1487">
        <v>60120</v>
      </c>
      <c r="AV40" s="1487">
        <v>59245</v>
      </c>
      <c r="AW40" s="1540">
        <v>2162428</v>
      </c>
      <c r="AX40" s="1520">
        <v>37.23</v>
      </c>
      <c r="AY40" s="1487">
        <v>7194</v>
      </c>
      <c r="AZ40" s="1487">
        <v>6536</v>
      </c>
      <c r="BA40" s="1540">
        <v>465.4</v>
      </c>
      <c r="BB40" s="1520"/>
      <c r="BC40" s="1487"/>
      <c r="BD40" s="1487"/>
      <c r="BE40" s="1540"/>
      <c r="BF40" s="1520">
        <v>18825.36</v>
      </c>
      <c r="BG40" s="1487">
        <v>33561</v>
      </c>
      <c r="BH40" s="1487">
        <v>34421</v>
      </c>
      <c r="BI40" s="1540">
        <v>417707.11</v>
      </c>
      <c r="BJ40" s="1520">
        <v>470.67</v>
      </c>
      <c r="BK40" s="1487">
        <v>86167</v>
      </c>
      <c r="BL40" s="1487">
        <v>79.93</v>
      </c>
      <c r="BM40" s="1540">
        <v>13767.65</v>
      </c>
      <c r="BN40" s="1520">
        <v>14097</v>
      </c>
      <c r="BO40" s="1487">
        <v>26865</v>
      </c>
      <c r="BP40" s="1487">
        <v>25077</v>
      </c>
      <c r="BQ40" s="1540">
        <v>275583</v>
      </c>
      <c r="BR40" s="1520">
        <v>7036</v>
      </c>
      <c r="BS40" s="1487">
        <v>12172</v>
      </c>
      <c r="BT40" s="1487">
        <v>11562</v>
      </c>
      <c r="BU40" s="1540">
        <v>93419</v>
      </c>
      <c r="BV40" s="1520"/>
      <c r="BW40" s="1487"/>
      <c r="BX40" s="1487"/>
      <c r="BY40" s="1540"/>
      <c r="BZ40" s="1520">
        <v>605</v>
      </c>
      <c r="CA40" s="1487">
        <f t="shared" si="0"/>
        <v>112971</v>
      </c>
      <c r="CB40" s="1487">
        <v>112971</v>
      </c>
      <c r="CC40" s="1540">
        <v>8259</v>
      </c>
      <c r="CD40" s="1520">
        <v>3926.33</v>
      </c>
      <c r="CE40" s="1520">
        <v>6875</v>
      </c>
      <c r="CF40" s="1487">
        <v>6498</v>
      </c>
      <c r="CG40" s="1540">
        <v>37062.11</v>
      </c>
      <c r="CH40" s="1520">
        <v>3127.15</v>
      </c>
      <c r="CI40" s="1487">
        <v>5481</v>
      </c>
      <c r="CJ40" s="1487">
        <v>5481</v>
      </c>
      <c r="CK40" s="1540">
        <v>35671.86</v>
      </c>
      <c r="CL40" s="1520">
        <v>20060</v>
      </c>
      <c r="CM40" s="1487">
        <v>33991</v>
      </c>
      <c r="CN40" s="1487">
        <v>32125</v>
      </c>
      <c r="CO40" s="1540">
        <v>2210614</v>
      </c>
      <c r="CP40" s="1520"/>
      <c r="CQ40" s="1487"/>
      <c r="CR40" s="1487"/>
      <c r="CS40" s="1540"/>
    </row>
    <row r="41" spans="1:97" ht="16.5">
      <c r="A41" s="1486" t="s">
        <v>506</v>
      </c>
      <c r="B41" s="1541">
        <v>9973</v>
      </c>
      <c r="C41" s="1487">
        <v>9508</v>
      </c>
      <c r="D41" s="1487">
        <v>9508</v>
      </c>
      <c r="E41" s="1540">
        <v>230608</v>
      </c>
      <c r="F41" s="1522">
        <v>880</v>
      </c>
      <c r="G41" s="1487">
        <v>928</v>
      </c>
      <c r="H41" s="1487">
        <v>722</v>
      </c>
      <c r="I41" s="1540">
        <v>21320</v>
      </c>
      <c r="J41" s="1520"/>
      <c r="K41" s="1487"/>
      <c r="L41" s="1487"/>
      <c r="M41" s="1540"/>
      <c r="N41" s="1487">
        <v>20218</v>
      </c>
      <c r="O41" s="1487">
        <v>21436</v>
      </c>
      <c r="P41" s="1521">
        <v>16149</v>
      </c>
      <c r="Q41" s="1522">
        <v>258282</v>
      </c>
      <c r="R41" s="1522">
        <v>85.59</v>
      </c>
      <c r="S41" s="1487">
        <v>9128</v>
      </c>
      <c r="T41" s="1487">
        <v>9226</v>
      </c>
      <c r="U41" s="1540">
        <v>986.15</v>
      </c>
      <c r="V41" s="1520">
        <v>14631.4</v>
      </c>
      <c r="W41" s="1487">
        <v>14912</v>
      </c>
      <c r="X41" s="1487">
        <v>14514</v>
      </c>
      <c r="Y41" s="1540">
        <v>108319.5</v>
      </c>
      <c r="Z41" s="1520">
        <v>737.54</v>
      </c>
      <c r="AA41" s="1487">
        <v>787</v>
      </c>
      <c r="AB41" s="1487">
        <v>750</v>
      </c>
      <c r="AC41" s="1540">
        <v>7720.34</v>
      </c>
      <c r="AD41" s="1520">
        <v>42.9</v>
      </c>
      <c r="AE41" s="1487">
        <v>4605</v>
      </c>
      <c r="AF41" s="1487">
        <v>4167</v>
      </c>
      <c r="AG41" s="1540">
        <v>730.1</v>
      </c>
      <c r="AH41" s="1520">
        <v>7250.92</v>
      </c>
      <c r="AI41" s="1487">
        <v>7611</v>
      </c>
      <c r="AJ41" s="1487">
        <v>7453</v>
      </c>
      <c r="AK41" s="1540">
        <v>49301.43</v>
      </c>
      <c r="AL41" s="1520">
        <v>3391</v>
      </c>
      <c r="AM41" s="1487">
        <v>3546</v>
      </c>
      <c r="AN41" s="1487">
        <v>3201</v>
      </c>
      <c r="AO41" s="1540">
        <v>51702</v>
      </c>
      <c r="AP41" s="1520">
        <v>99143.1</v>
      </c>
      <c r="AQ41" s="1487">
        <v>103594</v>
      </c>
      <c r="AR41" s="1487">
        <v>103924</v>
      </c>
      <c r="AS41" s="1540">
        <v>1687272.26</v>
      </c>
      <c r="AT41" s="1520">
        <v>68902.2</v>
      </c>
      <c r="AU41" s="1487">
        <v>70290</v>
      </c>
      <c r="AV41" s="1487">
        <v>69218</v>
      </c>
      <c r="AW41" s="1540">
        <v>1615776.5</v>
      </c>
      <c r="AX41" s="1520">
        <v>28.69</v>
      </c>
      <c r="AY41" s="1487">
        <v>3004</v>
      </c>
      <c r="AZ41" s="1487">
        <v>2849</v>
      </c>
      <c r="BA41" s="1540">
        <v>356.89</v>
      </c>
      <c r="BB41" s="1520"/>
      <c r="BC41" s="1487"/>
      <c r="BD41" s="1487"/>
      <c r="BE41" s="1540"/>
      <c r="BF41" s="1520">
        <v>17184.65</v>
      </c>
      <c r="BG41" s="1487">
        <v>18114</v>
      </c>
      <c r="BH41" s="1487">
        <v>17990</v>
      </c>
      <c r="BI41" s="1540">
        <v>289477.51</v>
      </c>
      <c r="BJ41" s="1520">
        <v>624.84</v>
      </c>
      <c r="BK41" s="1487">
        <v>64238</v>
      </c>
      <c r="BL41" s="1487">
        <v>61583</v>
      </c>
      <c r="BM41" s="1540">
        <v>9697.76</v>
      </c>
      <c r="BN41" s="1520">
        <v>24594</v>
      </c>
      <c r="BO41" s="1487">
        <v>25891</v>
      </c>
      <c r="BP41" s="1487">
        <v>23064</v>
      </c>
      <c r="BQ41" s="1540">
        <v>298446</v>
      </c>
      <c r="BR41" s="1520">
        <v>10103</v>
      </c>
      <c r="BS41" s="1487">
        <v>10752</v>
      </c>
      <c r="BT41" s="1487">
        <v>9841</v>
      </c>
      <c r="BU41" s="1540">
        <v>124083</v>
      </c>
      <c r="BV41" s="1520"/>
      <c r="BW41" s="1487"/>
      <c r="BX41" s="1487"/>
      <c r="BY41" s="1540"/>
      <c r="BZ41" s="1520">
        <v>1384</v>
      </c>
      <c r="CA41" s="1487">
        <f t="shared" si="0"/>
        <v>141526</v>
      </c>
      <c r="CB41" s="1487">
        <v>141526</v>
      </c>
      <c r="CC41" s="1540">
        <v>11661</v>
      </c>
      <c r="CD41" s="1520">
        <v>4713.83</v>
      </c>
      <c r="CE41" s="1520">
        <v>4940</v>
      </c>
      <c r="CF41" s="1487">
        <v>4390</v>
      </c>
      <c r="CG41" s="1540">
        <v>43980.39</v>
      </c>
      <c r="CH41" s="1520">
        <v>18335.39</v>
      </c>
      <c r="CI41" s="1487">
        <v>18418</v>
      </c>
      <c r="CJ41" s="1487">
        <v>18418</v>
      </c>
      <c r="CK41" s="1540">
        <v>183430.97</v>
      </c>
      <c r="CL41" s="1520">
        <v>30390</v>
      </c>
      <c r="CM41" s="1487">
        <v>32331</v>
      </c>
      <c r="CN41" s="1487">
        <v>30024</v>
      </c>
      <c r="CO41" s="1540">
        <v>1342957</v>
      </c>
      <c r="CP41" s="1520"/>
      <c r="CQ41" s="1487"/>
      <c r="CR41" s="1487"/>
      <c r="CS41" s="1540"/>
    </row>
    <row r="42" spans="1:97" ht="16.5">
      <c r="A42" s="1486" t="s">
        <v>507</v>
      </c>
      <c r="B42" s="1541">
        <v>17136</v>
      </c>
      <c r="C42" s="1487">
        <v>14655</v>
      </c>
      <c r="D42" s="1487">
        <v>14655</v>
      </c>
      <c r="E42" s="1540">
        <v>308751</v>
      </c>
      <c r="F42" s="1522">
        <v>252</v>
      </c>
      <c r="G42" s="1487">
        <v>225</v>
      </c>
      <c r="H42" s="1487">
        <v>175</v>
      </c>
      <c r="I42" s="1540">
        <v>14190</v>
      </c>
      <c r="J42" s="1520"/>
      <c r="K42" s="1487"/>
      <c r="L42" s="1487"/>
      <c r="M42" s="1540"/>
      <c r="N42" s="1487">
        <v>15319</v>
      </c>
      <c r="O42" s="1487">
        <v>14177</v>
      </c>
      <c r="P42" s="1521">
        <v>11608</v>
      </c>
      <c r="Q42" s="1522">
        <v>293102</v>
      </c>
      <c r="R42" s="1522">
        <v>32.03</v>
      </c>
      <c r="S42" s="1487">
        <v>2858</v>
      </c>
      <c r="T42" s="1487">
        <v>2866</v>
      </c>
      <c r="U42" s="1540">
        <v>464.5</v>
      </c>
      <c r="V42" s="1520">
        <v>2426.8</v>
      </c>
      <c r="W42" s="1487">
        <v>2259</v>
      </c>
      <c r="X42" s="1487">
        <v>2192</v>
      </c>
      <c r="Y42" s="1540">
        <v>20027.9</v>
      </c>
      <c r="Z42" s="1520">
        <v>273.69</v>
      </c>
      <c r="AA42" s="1487">
        <v>230</v>
      </c>
      <c r="AB42" s="1487">
        <v>222</v>
      </c>
      <c r="AC42" s="1540">
        <v>3014.85</v>
      </c>
      <c r="AD42" s="1520">
        <v>24.49</v>
      </c>
      <c r="AE42" s="1487">
        <v>2390</v>
      </c>
      <c r="AF42" s="1487">
        <v>2158</v>
      </c>
      <c r="AG42" s="1540">
        <v>439</v>
      </c>
      <c r="AH42" s="1520">
        <v>3950.03</v>
      </c>
      <c r="AI42" s="1487">
        <v>3429</v>
      </c>
      <c r="AJ42" s="1487">
        <v>3365</v>
      </c>
      <c r="AK42" s="1540">
        <v>141070.72</v>
      </c>
      <c r="AL42" s="1520">
        <v>1759</v>
      </c>
      <c r="AM42" s="1487">
        <v>1630</v>
      </c>
      <c r="AN42" s="1487">
        <v>1470</v>
      </c>
      <c r="AO42" s="1540">
        <v>22263</v>
      </c>
      <c r="AP42" s="1520">
        <v>24538.43</v>
      </c>
      <c r="AQ42" s="1487">
        <v>21217</v>
      </c>
      <c r="AR42" s="1487">
        <v>21827</v>
      </c>
      <c r="AS42" s="1540">
        <v>679279.99</v>
      </c>
      <c r="AT42" s="1520">
        <v>29263.2</v>
      </c>
      <c r="AU42" s="1487">
        <v>25823</v>
      </c>
      <c r="AV42" s="1487">
        <v>25595</v>
      </c>
      <c r="AW42" s="1540">
        <v>854028</v>
      </c>
      <c r="AX42" s="1520">
        <v>31.86</v>
      </c>
      <c r="AY42" s="1487">
        <v>3169</v>
      </c>
      <c r="AZ42" s="1487">
        <v>3012</v>
      </c>
      <c r="BA42" s="1540">
        <v>365.43</v>
      </c>
      <c r="BB42" s="1520"/>
      <c r="BC42" s="1487"/>
      <c r="BD42" s="1487"/>
      <c r="BE42" s="1540"/>
      <c r="BF42" s="1520">
        <v>13413.93</v>
      </c>
      <c r="BG42" s="1487">
        <v>12600</v>
      </c>
      <c r="BH42" s="1487">
        <v>13412</v>
      </c>
      <c r="BI42" s="1540">
        <v>236031.98</v>
      </c>
      <c r="BJ42" s="1520">
        <v>310.89</v>
      </c>
      <c r="BK42" s="1487">
        <v>30927</v>
      </c>
      <c r="BL42" s="1487">
        <v>29642</v>
      </c>
      <c r="BM42" s="1540">
        <v>6334.53</v>
      </c>
      <c r="BN42" s="1520">
        <v>6272</v>
      </c>
      <c r="BO42" s="1487">
        <v>10211</v>
      </c>
      <c r="BP42" s="1487">
        <v>7854</v>
      </c>
      <c r="BQ42" s="1540">
        <v>125514</v>
      </c>
      <c r="BR42" s="1520">
        <v>3554</v>
      </c>
      <c r="BS42" s="1487">
        <v>3207</v>
      </c>
      <c r="BT42" s="1487">
        <v>2883</v>
      </c>
      <c r="BU42" s="1540">
        <v>42908</v>
      </c>
      <c r="BV42" s="1520"/>
      <c r="BW42" s="1487"/>
      <c r="BX42" s="1487"/>
      <c r="BY42" s="1540"/>
      <c r="BZ42" s="1520">
        <v>390</v>
      </c>
      <c r="CA42" s="1487">
        <f t="shared" si="0"/>
        <v>38780</v>
      </c>
      <c r="CB42" s="1487">
        <v>38780</v>
      </c>
      <c r="CC42" s="1540">
        <v>4123</v>
      </c>
      <c r="CD42" s="1520">
        <v>2129.58</v>
      </c>
      <c r="CE42" s="1520">
        <v>1978</v>
      </c>
      <c r="CF42" s="1487">
        <v>1830</v>
      </c>
      <c r="CG42" s="1540">
        <v>19574.8</v>
      </c>
      <c r="CH42" s="1520">
        <v>1270.03</v>
      </c>
      <c r="CI42" s="1487">
        <v>1140</v>
      </c>
      <c r="CJ42" s="1487">
        <v>1140</v>
      </c>
      <c r="CK42" s="1540">
        <v>15056.19</v>
      </c>
      <c r="CL42" s="1520">
        <v>11452</v>
      </c>
      <c r="CM42" s="1487">
        <v>10622</v>
      </c>
      <c r="CN42" s="1487">
        <v>10242</v>
      </c>
      <c r="CO42" s="1540">
        <v>777054</v>
      </c>
      <c r="CP42" s="1520"/>
      <c r="CQ42" s="1487"/>
      <c r="CR42" s="1487"/>
      <c r="CS42" s="1540"/>
    </row>
    <row r="43" spans="1:97" ht="16.5">
      <c r="A43" s="1486" t="s">
        <v>508</v>
      </c>
      <c r="B43" s="1541">
        <v>71764</v>
      </c>
      <c r="C43" s="1487">
        <v>18829</v>
      </c>
      <c r="D43" s="1487">
        <v>18829</v>
      </c>
      <c r="E43" s="1540">
        <v>1184219</v>
      </c>
      <c r="F43" s="1522">
        <v>1927</v>
      </c>
      <c r="G43" s="1487">
        <v>733</v>
      </c>
      <c r="H43" s="1487">
        <v>573</v>
      </c>
      <c r="I43" s="1540">
        <v>45686</v>
      </c>
      <c r="J43" s="1520"/>
      <c r="K43" s="1487"/>
      <c r="L43" s="1487"/>
      <c r="M43" s="1540"/>
      <c r="N43" s="1487">
        <v>84327</v>
      </c>
      <c r="O43" s="1487">
        <v>26824</v>
      </c>
      <c r="P43" s="1521">
        <v>19116</v>
      </c>
      <c r="Q43" s="1522">
        <v>1086269</v>
      </c>
      <c r="R43" s="1522">
        <v>133</v>
      </c>
      <c r="S43" s="1487">
        <v>4054</v>
      </c>
      <c r="T43" s="1487">
        <v>4110</v>
      </c>
      <c r="U43" s="1540">
        <v>1255.47</v>
      </c>
      <c r="V43" s="1520">
        <v>49485.1</v>
      </c>
      <c r="W43" s="1487">
        <v>16047</v>
      </c>
      <c r="X43" s="1487">
        <v>15434</v>
      </c>
      <c r="Y43" s="1540">
        <v>456232</v>
      </c>
      <c r="Z43" s="1520">
        <v>637.34</v>
      </c>
      <c r="AA43" s="1487">
        <v>279</v>
      </c>
      <c r="AB43" s="1487">
        <v>256</v>
      </c>
      <c r="AC43" s="1540">
        <v>5851.57</v>
      </c>
      <c r="AD43" s="1520">
        <v>98.94</v>
      </c>
      <c r="AE43" s="1487">
        <v>3843</v>
      </c>
      <c r="AF43" s="1487">
        <v>3349</v>
      </c>
      <c r="AG43" s="1540">
        <v>1620.9</v>
      </c>
      <c r="AH43" s="1520">
        <v>11813.06</v>
      </c>
      <c r="AI43" s="1487">
        <v>5070</v>
      </c>
      <c r="AJ43" s="1487">
        <v>4794</v>
      </c>
      <c r="AK43" s="1540"/>
      <c r="AL43" s="1520">
        <v>14200</v>
      </c>
      <c r="AM43" s="1487">
        <v>3667</v>
      </c>
      <c r="AN43" s="1487">
        <v>3076</v>
      </c>
      <c r="AO43" s="1540">
        <v>142924</v>
      </c>
      <c r="AP43" s="1520">
        <v>255526.1</v>
      </c>
      <c r="AQ43" s="1487">
        <v>77235</v>
      </c>
      <c r="AR43" s="1487">
        <v>77655</v>
      </c>
      <c r="AS43" s="1540">
        <v>4112123.03</v>
      </c>
      <c r="AT43" s="1520">
        <v>413049.8</v>
      </c>
      <c r="AU43" s="1487">
        <v>125964</v>
      </c>
      <c r="AV43" s="1487">
        <v>120691</v>
      </c>
      <c r="AW43" s="1540">
        <v>5796713.5</v>
      </c>
      <c r="AX43" s="1520">
        <v>100.7</v>
      </c>
      <c r="AY43" s="1487">
        <v>3489</v>
      </c>
      <c r="AZ43" s="1487">
        <v>3337</v>
      </c>
      <c r="BA43" s="1540">
        <v>1151.94</v>
      </c>
      <c r="BB43" s="1520"/>
      <c r="BC43" s="1487"/>
      <c r="BD43" s="1487"/>
      <c r="BE43" s="1540"/>
      <c r="BF43" s="1520">
        <v>55851.49</v>
      </c>
      <c r="BG43" s="1487">
        <v>20834</v>
      </c>
      <c r="BH43" s="1487">
        <v>19905</v>
      </c>
      <c r="BI43" s="1540">
        <v>816199.25</v>
      </c>
      <c r="BJ43" s="1520">
        <v>1627.79</v>
      </c>
      <c r="BK43" s="1487">
        <v>58551</v>
      </c>
      <c r="BL43" s="1487">
        <v>55027</v>
      </c>
      <c r="BM43" s="1540">
        <v>24159.44</v>
      </c>
      <c r="BN43" s="1520">
        <v>50305</v>
      </c>
      <c r="BO43" s="1487">
        <v>36203</v>
      </c>
      <c r="BP43" s="1487">
        <v>26077</v>
      </c>
      <c r="BQ43" s="1540">
        <v>961798</v>
      </c>
      <c r="BR43" s="1520">
        <v>26373</v>
      </c>
      <c r="BS43" s="1487">
        <v>10126</v>
      </c>
      <c r="BT43" s="1487">
        <v>8708</v>
      </c>
      <c r="BU43" s="1540">
        <v>267727</v>
      </c>
      <c r="BV43" s="1520"/>
      <c r="BW43" s="1487"/>
      <c r="BX43" s="1487"/>
      <c r="BY43" s="1540"/>
      <c r="BZ43" s="1520">
        <v>4329</v>
      </c>
      <c r="CA43" s="1487">
        <v>164149</v>
      </c>
      <c r="CB43" s="1487">
        <v>164149</v>
      </c>
      <c r="CC43" s="1540">
        <v>34638</v>
      </c>
      <c r="CD43" s="1520">
        <v>5061.16</v>
      </c>
      <c r="CE43" s="1520">
        <v>2234</v>
      </c>
      <c r="CF43" s="1487">
        <v>1914</v>
      </c>
      <c r="CG43" s="1540">
        <v>45370.61</v>
      </c>
      <c r="CH43" s="1520">
        <v>18718.79</v>
      </c>
      <c r="CI43" s="1487">
        <v>7968</v>
      </c>
      <c r="CJ43" s="1487">
        <v>7968</v>
      </c>
      <c r="CK43" s="1540">
        <v>199004.57</v>
      </c>
      <c r="CL43" s="1520">
        <v>135352</v>
      </c>
      <c r="CM43" s="1487">
        <v>43930</v>
      </c>
      <c r="CN43" s="1487">
        <v>39512</v>
      </c>
      <c r="CO43" s="1540">
        <v>4310993</v>
      </c>
      <c r="CP43" s="1520"/>
      <c r="CQ43" s="1487"/>
      <c r="CR43" s="1487"/>
      <c r="CS43" s="1540"/>
    </row>
    <row r="44" spans="1:97" ht="16.5">
      <c r="A44" s="1485" t="s">
        <v>520</v>
      </c>
      <c r="B44" s="1522"/>
      <c r="C44" s="1487"/>
      <c r="D44" s="1487"/>
      <c r="E44" s="1540"/>
      <c r="F44" s="1522"/>
      <c r="G44" s="1487"/>
      <c r="H44" s="1487"/>
      <c r="I44" s="1540"/>
      <c r="J44" s="1520"/>
      <c r="K44" s="1487"/>
      <c r="L44" s="1487"/>
      <c r="M44" s="1540"/>
      <c r="N44" s="1520"/>
      <c r="O44" s="1487"/>
      <c r="P44" s="1487"/>
      <c r="Q44" s="1521"/>
      <c r="R44" s="1522"/>
      <c r="S44" s="1487"/>
      <c r="T44" s="1487"/>
      <c r="U44" s="1540"/>
      <c r="V44" s="1520"/>
      <c r="W44" s="1487"/>
      <c r="X44" s="1487"/>
      <c r="Y44" s="1540"/>
      <c r="Z44" s="1520"/>
      <c r="AA44" s="1487"/>
      <c r="AB44" s="1487"/>
      <c r="AC44" s="1540"/>
      <c r="AD44" s="1520"/>
      <c r="AE44" s="1487"/>
      <c r="AF44" s="1487"/>
      <c r="AG44" s="1540"/>
      <c r="AH44" s="1520"/>
      <c r="AI44" s="1487"/>
      <c r="AJ44" s="1487"/>
      <c r="AK44" s="1540"/>
      <c r="AL44" s="1520"/>
      <c r="AM44" s="1487"/>
      <c r="AN44" s="1487"/>
      <c r="AO44" s="1540"/>
      <c r="AP44" s="1520"/>
      <c r="AQ44" s="1487"/>
      <c r="AR44" s="1487"/>
      <c r="AS44" s="1540"/>
      <c r="AT44" s="1520"/>
      <c r="AU44" s="1487"/>
      <c r="AV44" s="1487"/>
      <c r="AW44" s="1540"/>
      <c r="AX44" s="1520"/>
      <c r="AY44" s="1487"/>
      <c r="AZ44" s="1487"/>
      <c r="BA44" s="1540"/>
      <c r="BB44" s="1520"/>
      <c r="BC44" s="1487"/>
      <c r="BD44" s="1487"/>
      <c r="BE44" s="1540"/>
      <c r="BF44" s="1520"/>
      <c r="BG44" s="1487"/>
      <c r="BH44" s="1487"/>
      <c r="BI44" s="1540"/>
      <c r="BJ44" s="1520"/>
      <c r="BK44" s="1487"/>
      <c r="BL44" s="1487"/>
      <c r="BM44" s="1540"/>
      <c r="BN44" s="1520"/>
      <c r="BO44" s="1487"/>
      <c r="BP44" s="1487"/>
      <c r="BQ44" s="1540"/>
      <c r="BR44" s="1520"/>
      <c r="BS44" s="1487"/>
      <c r="BT44" s="1487"/>
      <c r="BU44" s="1540"/>
      <c r="BV44" s="1520"/>
      <c r="BW44" s="1487"/>
      <c r="BX44" s="1487"/>
      <c r="BY44" s="1540"/>
      <c r="BZ44" s="1520"/>
      <c r="CA44" s="1487"/>
      <c r="CB44" s="1487"/>
      <c r="CC44" s="1540"/>
      <c r="CD44" s="1520"/>
      <c r="CE44" s="1487"/>
      <c r="CF44" s="1487"/>
      <c r="CG44" s="1540"/>
      <c r="CH44" s="1520"/>
      <c r="CI44" s="1487"/>
      <c r="CJ44" s="1487"/>
      <c r="CK44" s="1540"/>
      <c r="CL44" s="1520"/>
      <c r="CM44" s="1487"/>
      <c r="CN44" s="1487"/>
      <c r="CO44" s="1540"/>
      <c r="CP44" s="1520"/>
      <c r="CQ44" s="1487"/>
      <c r="CR44" s="1487"/>
      <c r="CS44" s="1540"/>
    </row>
    <row r="45" spans="1:97" ht="16.5">
      <c r="A45" s="1486" t="s">
        <v>510</v>
      </c>
      <c r="B45" s="1543"/>
      <c r="C45" s="1487"/>
      <c r="D45" s="1544"/>
      <c r="E45" s="1540"/>
      <c r="F45" s="1522"/>
      <c r="G45" s="1487"/>
      <c r="H45" s="1487"/>
      <c r="I45" s="1540"/>
      <c r="J45" s="1520"/>
      <c r="K45" s="1487"/>
      <c r="L45" s="1487"/>
      <c r="M45" s="1540"/>
      <c r="N45" s="1520"/>
      <c r="O45" s="1487"/>
      <c r="P45" s="1487"/>
      <c r="Q45" s="1521"/>
      <c r="R45" s="1522"/>
      <c r="S45" s="1487"/>
      <c r="T45" s="1487"/>
      <c r="U45" s="1540"/>
      <c r="V45" s="1520"/>
      <c r="W45" s="1487"/>
      <c r="X45" s="1487"/>
      <c r="Y45" s="1540"/>
      <c r="Z45" s="1520"/>
      <c r="AA45" s="1487"/>
      <c r="AB45" s="1487"/>
      <c r="AC45" s="1540"/>
      <c r="AD45" s="1520"/>
      <c r="AE45" s="1487"/>
      <c r="AF45" s="1487"/>
      <c r="AG45" s="1540"/>
      <c r="AH45" s="1520">
        <v>29.81</v>
      </c>
      <c r="AI45" s="1487">
        <v>33</v>
      </c>
      <c r="AJ45" s="1487">
        <v>33</v>
      </c>
      <c r="AK45" s="1540"/>
      <c r="AL45" s="1520"/>
      <c r="AM45" s="1487"/>
      <c r="AN45" s="1487"/>
      <c r="AO45" s="1540"/>
      <c r="AP45" s="1520"/>
      <c r="AQ45" s="1487"/>
      <c r="AR45" s="1487"/>
      <c r="AS45" s="1540"/>
      <c r="AT45" s="1520"/>
      <c r="AU45" s="1487"/>
      <c r="AV45" s="1487"/>
      <c r="AW45" s="1540"/>
      <c r="AX45" s="1520"/>
      <c r="AY45" s="1487"/>
      <c r="AZ45" s="1487"/>
      <c r="BA45" s="1540"/>
      <c r="BB45" s="1520"/>
      <c r="BC45" s="1487"/>
      <c r="BD45" s="1487"/>
      <c r="BE45" s="1540"/>
      <c r="BF45" s="1520">
        <v>40.01</v>
      </c>
      <c r="BG45" s="1487">
        <v>111</v>
      </c>
      <c r="BH45" s="1487">
        <v>109</v>
      </c>
      <c r="BI45" s="1540">
        <v>483.35</v>
      </c>
      <c r="BJ45" s="1520">
        <v>0.71</v>
      </c>
      <c r="BK45" s="1487">
        <v>184</v>
      </c>
      <c r="BL45" s="1487">
        <v>183</v>
      </c>
      <c r="BM45" s="1540">
        <v>1.45</v>
      </c>
      <c r="BN45" s="1520">
        <v>37</v>
      </c>
      <c r="BO45" s="1487">
        <v>120</v>
      </c>
      <c r="BP45" s="1487">
        <v>102</v>
      </c>
      <c r="BQ45" s="1540">
        <v>1610</v>
      </c>
      <c r="BR45" s="1520"/>
      <c r="BS45" s="1487"/>
      <c r="BT45" s="1487"/>
      <c r="BU45" s="1540"/>
      <c r="BV45" s="1520"/>
      <c r="BW45" s="1487"/>
      <c r="BX45" s="1487"/>
      <c r="BY45" s="1540"/>
      <c r="BZ45" s="1520"/>
      <c r="CA45" s="1487"/>
      <c r="CB45" s="1487"/>
      <c r="CC45" s="1540"/>
      <c r="CD45" s="1487">
        <v>-1</v>
      </c>
      <c r="CE45" s="1487">
        <v>-2</v>
      </c>
      <c r="CF45" s="1540">
        <v>-1</v>
      </c>
      <c r="CG45" s="1540"/>
      <c r="CH45" s="1520"/>
      <c r="CI45" s="1487"/>
      <c r="CJ45" s="1487"/>
      <c r="CK45" s="1540"/>
      <c r="CL45" s="1520"/>
      <c r="CM45" s="1487"/>
      <c r="CN45" s="1487"/>
      <c r="CO45" s="1540"/>
      <c r="CP45" s="1520"/>
      <c r="CQ45" s="1487"/>
      <c r="CR45" s="1487"/>
      <c r="CS45" s="1540"/>
    </row>
    <row r="46" spans="1:97" ht="16.5">
      <c r="A46" s="1486" t="s">
        <v>511</v>
      </c>
      <c r="B46" s="1543"/>
      <c r="C46" s="1487"/>
      <c r="D46" s="1544"/>
      <c r="E46" s="1540"/>
      <c r="F46" s="1522"/>
      <c r="G46" s="1487"/>
      <c r="H46" s="1487"/>
      <c r="I46" s="1540"/>
      <c r="J46" s="1520"/>
      <c r="K46" s="1487"/>
      <c r="L46" s="1487"/>
      <c r="M46" s="1540"/>
      <c r="N46" s="1520"/>
      <c r="O46" s="1487"/>
      <c r="P46" s="1487"/>
      <c r="Q46" s="1521"/>
      <c r="R46" s="1522"/>
      <c r="S46" s="1487"/>
      <c r="T46" s="1487"/>
      <c r="U46" s="1540"/>
      <c r="V46" s="1520"/>
      <c r="W46" s="1487"/>
      <c r="X46" s="1487"/>
      <c r="Y46" s="1540"/>
      <c r="Z46" s="1520"/>
      <c r="AA46" s="1487"/>
      <c r="AB46" s="1487"/>
      <c r="AC46" s="1540"/>
      <c r="AD46" s="1520"/>
      <c r="AE46" s="1487"/>
      <c r="AF46" s="1487"/>
      <c r="AG46" s="1540"/>
      <c r="AH46" s="1520">
        <v>93.05</v>
      </c>
      <c r="AI46" s="1487">
        <v>94</v>
      </c>
      <c r="AJ46" s="1487">
        <v>92</v>
      </c>
      <c r="AK46" s="1540"/>
      <c r="AL46" s="1520"/>
      <c r="AM46" s="1487"/>
      <c r="AN46" s="1487"/>
      <c r="AO46" s="1540"/>
      <c r="AP46" s="1520"/>
      <c r="AQ46" s="1487"/>
      <c r="AR46" s="1487"/>
      <c r="AS46" s="1540"/>
      <c r="AT46" s="1520"/>
      <c r="AU46" s="1487"/>
      <c r="AV46" s="1487"/>
      <c r="AW46" s="1540"/>
      <c r="AX46" s="1520"/>
      <c r="AY46" s="1487"/>
      <c r="AZ46" s="1487"/>
      <c r="BA46" s="1540"/>
      <c r="BB46" s="1520"/>
      <c r="BC46" s="1487"/>
      <c r="BD46" s="1487"/>
      <c r="BE46" s="1540"/>
      <c r="BF46" s="1520">
        <v>104.37</v>
      </c>
      <c r="BG46" s="1487">
        <v>136</v>
      </c>
      <c r="BH46" s="1487">
        <v>128</v>
      </c>
      <c r="BI46" s="1540">
        <v>1367.16</v>
      </c>
      <c r="BJ46" s="1520">
        <v>6.54</v>
      </c>
      <c r="BK46" s="1487">
        <v>765</v>
      </c>
      <c r="BL46" s="1487">
        <v>764</v>
      </c>
      <c r="BM46" s="1540">
        <v>13.35</v>
      </c>
      <c r="BN46" s="1520">
        <v>156</v>
      </c>
      <c r="BO46" s="1487">
        <v>111</v>
      </c>
      <c r="BP46" s="1487">
        <v>101</v>
      </c>
      <c r="BQ46" s="1540">
        <v>828</v>
      </c>
      <c r="BR46" s="1520"/>
      <c r="BS46" s="1487"/>
      <c r="BT46" s="1487"/>
      <c r="BU46" s="1540"/>
      <c r="BV46" s="1520"/>
      <c r="BW46" s="1487"/>
      <c r="BX46" s="1487"/>
      <c r="BY46" s="1540"/>
      <c r="BZ46" s="1520"/>
      <c r="CA46" s="1487"/>
      <c r="CB46" s="1487"/>
      <c r="CC46" s="1540"/>
      <c r="CD46" s="1487">
        <v>6.09</v>
      </c>
      <c r="CE46" s="1487">
        <v>7</v>
      </c>
      <c r="CF46" s="1540">
        <v>7</v>
      </c>
      <c r="CG46" s="1540"/>
      <c r="CH46" s="1520"/>
      <c r="CI46" s="1487"/>
      <c r="CJ46" s="1487"/>
      <c r="CK46" s="1540"/>
      <c r="CL46" s="1520"/>
      <c r="CM46" s="1487"/>
      <c r="CN46" s="1487"/>
      <c r="CO46" s="1540"/>
      <c r="CP46" s="1520"/>
      <c r="CQ46" s="1487"/>
      <c r="CR46" s="1487"/>
      <c r="CS46" s="1540"/>
    </row>
    <row r="47" spans="1:97" ht="16.5">
      <c r="A47" s="1486" t="s">
        <v>512</v>
      </c>
      <c r="B47" s="1543"/>
      <c r="C47" s="1487"/>
      <c r="D47" s="1544"/>
      <c r="E47" s="1540"/>
      <c r="F47" s="1522"/>
      <c r="G47" s="1487"/>
      <c r="H47" s="1487"/>
      <c r="I47" s="1540"/>
      <c r="J47" s="1520"/>
      <c r="K47" s="1487"/>
      <c r="L47" s="1487"/>
      <c r="M47" s="1540"/>
      <c r="N47" s="1520"/>
      <c r="O47" s="1487"/>
      <c r="P47" s="1487"/>
      <c r="Q47" s="1521"/>
      <c r="R47" s="1522"/>
      <c r="S47" s="1487"/>
      <c r="T47" s="1487"/>
      <c r="U47" s="1540"/>
      <c r="V47" s="1520"/>
      <c r="W47" s="1487"/>
      <c r="X47" s="1487"/>
      <c r="Y47" s="1540"/>
      <c r="Z47" s="1520"/>
      <c r="AA47" s="1487"/>
      <c r="AB47" s="1487"/>
      <c r="AC47" s="1540"/>
      <c r="AD47" s="1520"/>
      <c r="AE47" s="1487"/>
      <c r="AF47" s="1487"/>
      <c r="AG47" s="1540"/>
      <c r="AH47" s="1520">
        <v>62.71</v>
      </c>
      <c r="AI47" s="1487">
        <v>47</v>
      </c>
      <c r="AJ47" s="1487">
        <v>46</v>
      </c>
      <c r="AK47" s="1540"/>
      <c r="AL47" s="1520"/>
      <c r="AM47" s="1487"/>
      <c r="AN47" s="1487"/>
      <c r="AO47" s="1540"/>
      <c r="AP47" s="1520"/>
      <c r="AQ47" s="1487"/>
      <c r="AR47" s="1487"/>
      <c r="AS47" s="1540"/>
      <c r="AT47" s="1520"/>
      <c r="AU47" s="1487"/>
      <c r="AV47" s="1487"/>
      <c r="AW47" s="1540"/>
      <c r="AX47" s="1520"/>
      <c r="AY47" s="1487"/>
      <c r="AZ47" s="1487"/>
      <c r="BA47" s="1540"/>
      <c r="BB47" s="1520"/>
      <c r="BC47" s="1487"/>
      <c r="BD47" s="1487"/>
      <c r="BE47" s="1540"/>
      <c r="BF47" s="1520">
        <v>92.28</v>
      </c>
      <c r="BG47" s="1487">
        <v>82</v>
      </c>
      <c r="BH47" s="1487">
        <v>80</v>
      </c>
      <c r="BI47" s="1540">
        <v>1298.93</v>
      </c>
      <c r="BJ47" s="1520">
        <v>3.06</v>
      </c>
      <c r="BK47" s="1487">
        <v>241</v>
      </c>
      <c r="BL47" s="1487">
        <v>238</v>
      </c>
      <c r="BM47" s="1540">
        <v>6.37</v>
      </c>
      <c r="BN47" s="1520">
        <v>88</v>
      </c>
      <c r="BO47" s="1487">
        <v>37</v>
      </c>
      <c r="BP47" s="1487">
        <v>32</v>
      </c>
      <c r="BQ47" s="1540">
        <v>309</v>
      </c>
      <c r="BR47" s="1520"/>
      <c r="BS47" s="1487"/>
      <c r="BT47" s="1487"/>
      <c r="BU47" s="1540"/>
      <c r="BV47" s="1520"/>
      <c r="BW47" s="1487"/>
      <c r="BX47" s="1487"/>
      <c r="BY47" s="1540"/>
      <c r="BZ47" s="1520"/>
      <c r="CA47" s="1487"/>
      <c r="CB47" s="1487"/>
      <c r="CC47" s="1540"/>
      <c r="CD47" s="1487">
        <v>2.71</v>
      </c>
      <c r="CE47" s="1487">
        <v>2</v>
      </c>
      <c r="CF47" s="1540">
        <v>2</v>
      </c>
      <c r="CG47" s="1540"/>
      <c r="CH47" s="1520"/>
      <c r="CI47" s="1487"/>
      <c r="CJ47" s="1487"/>
      <c r="CK47" s="1540"/>
      <c r="CL47" s="1520"/>
      <c r="CM47" s="1487"/>
      <c r="CN47" s="1487"/>
      <c r="CO47" s="1540"/>
      <c r="CP47" s="1520"/>
      <c r="CQ47" s="1487"/>
      <c r="CR47" s="1487"/>
      <c r="CS47" s="1540"/>
    </row>
    <row r="48" spans="1:97" ht="16.5">
      <c r="A48" s="1486" t="s">
        <v>513</v>
      </c>
      <c r="B48" s="1543"/>
      <c r="C48" s="1487"/>
      <c r="D48" s="1544"/>
      <c r="E48" s="1540"/>
      <c r="F48" s="1522"/>
      <c r="G48" s="1487"/>
      <c r="H48" s="1487"/>
      <c r="I48" s="1540"/>
      <c r="J48" s="1520"/>
      <c r="K48" s="1487"/>
      <c r="L48" s="1487"/>
      <c r="M48" s="1540"/>
      <c r="N48" s="1520"/>
      <c r="O48" s="1487"/>
      <c r="P48" s="1487"/>
      <c r="Q48" s="1521"/>
      <c r="R48" s="1522"/>
      <c r="S48" s="1487"/>
      <c r="T48" s="1487"/>
      <c r="U48" s="1540"/>
      <c r="V48" s="1520"/>
      <c r="W48" s="1487"/>
      <c r="X48" s="1487"/>
      <c r="Y48" s="1540"/>
      <c r="Z48" s="1520"/>
      <c r="AA48" s="1487"/>
      <c r="AB48" s="1487"/>
      <c r="AC48" s="1540"/>
      <c r="AD48" s="1520"/>
      <c r="AE48" s="1487"/>
      <c r="AF48" s="1487"/>
      <c r="AG48" s="1540"/>
      <c r="AH48" s="1520">
        <v>46.8</v>
      </c>
      <c r="AI48" s="1487">
        <v>24</v>
      </c>
      <c r="AJ48" s="1487">
        <v>23</v>
      </c>
      <c r="AK48" s="1540"/>
      <c r="AL48" s="1520"/>
      <c r="AM48" s="1487"/>
      <c r="AN48" s="1487"/>
      <c r="AO48" s="1540"/>
      <c r="AP48" s="1520"/>
      <c r="AQ48" s="1487"/>
      <c r="AR48" s="1487"/>
      <c r="AS48" s="1540"/>
      <c r="AT48" s="1520"/>
      <c r="AU48" s="1487"/>
      <c r="AV48" s="1487"/>
      <c r="AW48" s="1540"/>
      <c r="AX48" s="1520"/>
      <c r="AY48" s="1487"/>
      <c r="AZ48" s="1487"/>
      <c r="BA48" s="1540"/>
      <c r="BB48" s="1520"/>
      <c r="BC48" s="1487"/>
      <c r="BD48" s="1487"/>
      <c r="BE48" s="1540"/>
      <c r="BF48" s="1520">
        <v>40.36</v>
      </c>
      <c r="BG48" s="1487">
        <v>22</v>
      </c>
      <c r="BH48" s="1487">
        <v>22</v>
      </c>
      <c r="BI48" s="1540">
        <v>519.24</v>
      </c>
      <c r="BJ48" s="1520">
        <v>5.24</v>
      </c>
      <c r="BK48" s="1487">
        <v>275</v>
      </c>
      <c r="BL48" s="1487">
        <v>266</v>
      </c>
      <c r="BM48" s="1540">
        <v>10.85</v>
      </c>
      <c r="BN48" s="1520">
        <v>124</v>
      </c>
      <c r="BO48" s="1487">
        <v>36</v>
      </c>
      <c r="BP48" s="1487">
        <v>31</v>
      </c>
      <c r="BQ48" s="1540">
        <v>456</v>
      </c>
      <c r="BR48" s="1520"/>
      <c r="BS48" s="1487"/>
      <c r="BT48" s="1487"/>
      <c r="BU48" s="1540"/>
      <c r="BV48" s="1520"/>
      <c r="BW48" s="1487"/>
      <c r="BX48" s="1487"/>
      <c r="BY48" s="1540"/>
      <c r="BZ48" s="1520"/>
      <c r="CA48" s="1487"/>
      <c r="CB48" s="1487"/>
      <c r="CC48" s="1540"/>
      <c r="CD48" s="1487">
        <v>5.78</v>
      </c>
      <c r="CE48" s="1487">
        <v>3</v>
      </c>
      <c r="CF48" s="1540">
        <v>3</v>
      </c>
      <c r="CG48" s="1540"/>
      <c r="CH48" s="1520"/>
      <c r="CI48" s="1487"/>
      <c r="CJ48" s="1487"/>
      <c r="CK48" s="1540"/>
      <c r="CL48" s="1520"/>
      <c r="CM48" s="1487"/>
      <c r="CN48" s="1487"/>
      <c r="CO48" s="1540"/>
      <c r="CP48" s="1520"/>
      <c r="CQ48" s="1487"/>
      <c r="CR48" s="1487"/>
      <c r="CS48" s="1540"/>
    </row>
    <row r="49" spans="1:97" ht="16.5">
      <c r="A49" s="1486" t="s">
        <v>514</v>
      </c>
      <c r="B49" s="1543"/>
      <c r="C49" s="1487"/>
      <c r="D49" s="1544"/>
      <c r="E49" s="1540"/>
      <c r="F49" s="1522"/>
      <c r="G49" s="1487"/>
      <c r="H49" s="1487"/>
      <c r="I49" s="1540"/>
      <c r="J49" s="1520"/>
      <c r="K49" s="1487"/>
      <c r="L49" s="1487"/>
      <c r="M49" s="1540"/>
      <c r="N49" s="1520"/>
      <c r="O49" s="1487"/>
      <c r="P49" s="1487"/>
      <c r="Q49" s="1521"/>
      <c r="R49" s="1522"/>
      <c r="S49" s="1487"/>
      <c r="T49" s="1487"/>
      <c r="U49" s="1540"/>
      <c r="V49" s="1520"/>
      <c r="W49" s="1487"/>
      <c r="X49" s="1487"/>
      <c r="Y49" s="1540"/>
      <c r="Z49" s="1520"/>
      <c r="AA49" s="1487"/>
      <c r="AB49" s="1487"/>
      <c r="AC49" s="1540"/>
      <c r="AD49" s="1520"/>
      <c r="AE49" s="1487"/>
      <c r="AF49" s="1487"/>
      <c r="AG49" s="1540"/>
      <c r="AH49" s="1520">
        <v>24.79</v>
      </c>
      <c r="AI49" s="1487">
        <v>11</v>
      </c>
      <c r="AJ49" s="1487">
        <v>11</v>
      </c>
      <c r="AK49" s="1540"/>
      <c r="AL49" s="1520"/>
      <c r="AM49" s="1487"/>
      <c r="AN49" s="1487"/>
      <c r="AO49" s="1540"/>
      <c r="AP49" s="1520"/>
      <c r="AQ49" s="1487"/>
      <c r="AR49" s="1487"/>
      <c r="AS49" s="1540"/>
      <c r="AT49" s="1520"/>
      <c r="AU49" s="1487"/>
      <c r="AV49" s="1487"/>
      <c r="AW49" s="1540"/>
      <c r="AX49" s="1520"/>
      <c r="AY49" s="1487"/>
      <c r="AZ49" s="1487"/>
      <c r="BA49" s="1540"/>
      <c r="BB49" s="1520"/>
      <c r="BC49" s="1487"/>
      <c r="BD49" s="1487"/>
      <c r="BE49" s="1540"/>
      <c r="BF49" s="1520">
        <v>40.91</v>
      </c>
      <c r="BG49" s="1487">
        <v>19</v>
      </c>
      <c r="BH49" s="1487">
        <v>19</v>
      </c>
      <c r="BI49" s="1540">
        <v>524.76</v>
      </c>
      <c r="BJ49" s="1520">
        <v>2.09</v>
      </c>
      <c r="BK49" s="1487">
        <v>93</v>
      </c>
      <c r="BL49" s="1487">
        <v>91</v>
      </c>
      <c r="BM49" s="1540">
        <v>4.51</v>
      </c>
      <c r="BN49" s="1520">
        <v>55</v>
      </c>
      <c r="BO49" s="1487">
        <v>20</v>
      </c>
      <c r="BP49" s="1487">
        <v>18</v>
      </c>
      <c r="BQ49" s="1540">
        <v>285</v>
      </c>
      <c r="BR49" s="1520"/>
      <c r="BS49" s="1487"/>
      <c r="BT49" s="1487"/>
      <c r="BU49" s="1540"/>
      <c r="BV49" s="1520"/>
      <c r="BW49" s="1487"/>
      <c r="BX49" s="1487"/>
      <c r="BY49" s="1540"/>
      <c r="BZ49" s="1520"/>
      <c r="CA49" s="1487"/>
      <c r="CB49" s="1487"/>
      <c r="CC49" s="1540"/>
      <c r="CD49" s="1487">
        <v>2.28</v>
      </c>
      <c r="CE49" s="1487">
        <v>1</v>
      </c>
      <c r="CF49" s="1540">
        <v>1</v>
      </c>
      <c r="CG49" s="1540"/>
      <c r="CH49" s="1520"/>
      <c r="CI49" s="1487"/>
      <c r="CJ49" s="1487"/>
      <c r="CK49" s="1540"/>
      <c r="CL49" s="1520"/>
      <c r="CM49" s="1487"/>
      <c r="CN49" s="1487"/>
      <c r="CO49" s="1540"/>
      <c r="CP49" s="1520"/>
      <c r="CQ49" s="1487"/>
      <c r="CR49" s="1487"/>
      <c r="CS49" s="1540"/>
    </row>
    <row r="50" spans="1:97" ht="16.5">
      <c r="A50" s="1486" t="s">
        <v>515</v>
      </c>
      <c r="B50" s="1543"/>
      <c r="C50" s="1487"/>
      <c r="D50" s="1544"/>
      <c r="E50" s="1540"/>
      <c r="F50" s="1522"/>
      <c r="G50" s="1487"/>
      <c r="H50" s="1487"/>
      <c r="I50" s="1540"/>
      <c r="J50" s="1520"/>
      <c r="K50" s="1487"/>
      <c r="L50" s="1487"/>
      <c r="M50" s="1540"/>
      <c r="N50" s="1520"/>
      <c r="O50" s="1487"/>
      <c r="P50" s="1487"/>
      <c r="Q50" s="1521"/>
      <c r="R50" s="1522"/>
      <c r="S50" s="1487"/>
      <c r="T50" s="1487"/>
      <c r="U50" s="1540"/>
      <c r="V50" s="1520"/>
      <c r="W50" s="1487"/>
      <c r="X50" s="1487"/>
      <c r="Y50" s="1540"/>
      <c r="Z50" s="1520"/>
      <c r="AA50" s="1487"/>
      <c r="AB50" s="1487"/>
      <c r="AC50" s="1540"/>
      <c r="AD50" s="1520"/>
      <c r="AE50" s="1487"/>
      <c r="AF50" s="1487"/>
      <c r="AG50" s="1540"/>
      <c r="AH50" s="1520">
        <v>29.91</v>
      </c>
      <c r="AI50" s="1487">
        <v>11</v>
      </c>
      <c r="AJ50" s="1487">
        <v>10</v>
      </c>
      <c r="AK50" s="1540"/>
      <c r="AL50" s="1520"/>
      <c r="AM50" s="1487"/>
      <c r="AN50" s="1487"/>
      <c r="AO50" s="1540"/>
      <c r="AP50" s="1520"/>
      <c r="AQ50" s="1487"/>
      <c r="AR50" s="1487"/>
      <c r="AS50" s="1540"/>
      <c r="AT50" s="1520"/>
      <c r="AU50" s="1487"/>
      <c r="AV50" s="1487"/>
      <c r="AW50" s="1540"/>
      <c r="AX50" s="1520"/>
      <c r="AY50" s="1487"/>
      <c r="AZ50" s="1487"/>
      <c r="BA50" s="1540"/>
      <c r="BB50" s="1520"/>
      <c r="BC50" s="1487"/>
      <c r="BD50" s="1487"/>
      <c r="BE50" s="1540"/>
      <c r="BF50" s="1520">
        <v>20.75</v>
      </c>
      <c r="BG50" s="1487">
        <v>8</v>
      </c>
      <c r="BH50" s="1487">
        <v>7</v>
      </c>
      <c r="BI50" s="1540">
        <v>302.03</v>
      </c>
      <c r="BJ50" s="1520">
        <v>3.94</v>
      </c>
      <c r="BK50" s="1487">
        <v>140</v>
      </c>
      <c r="BL50" s="1487">
        <v>136</v>
      </c>
      <c r="BM50" s="1540">
        <v>8.32</v>
      </c>
      <c r="BN50" s="1520">
        <v>56</v>
      </c>
      <c r="BO50" s="1487">
        <v>7</v>
      </c>
      <c r="BP50" s="1487">
        <v>7</v>
      </c>
      <c r="BQ50" s="1540">
        <v>192</v>
      </c>
      <c r="BR50" s="1520"/>
      <c r="BS50" s="1487"/>
      <c r="BT50" s="1487"/>
      <c r="BU50" s="1540"/>
      <c r="BV50" s="1520"/>
      <c r="BW50" s="1487"/>
      <c r="BX50" s="1487"/>
      <c r="BY50" s="1540"/>
      <c r="BZ50" s="1520"/>
      <c r="CA50" s="1487"/>
      <c r="CB50" s="1487"/>
      <c r="CC50" s="1540"/>
      <c r="CD50" s="1487">
        <v>33</v>
      </c>
      <c r="CE50" s="1487">
        <v>11</v>
      </c>
      <c r="CF50" s="1540">
        <v>9</v>
      </c>
      <c r="CG50" s="1540"/>
      <c r="CH50" s="1520"/>
      <c r="CI50" s="1487"/>
      <c r="CJ50" s="1487"/>
      <c r="CK50" s="1540"/>
      <c r="CL50" s="1520"/>
      <c r="CM50" s="1487"/>
      <c r="CN50" s="1487"/>
      <c r="CO50" s="1540"/>
      <c r="CP50" s="1520"/>
      <c r="CQ50" s="1487"/>
      <c r="CR50" s="1487"/>
      <c r="CS50" s="1540"/>
    </row>
    <row r="51" spans="1:97" ht="16.5">
      <c r="A51" s="1486" t="s">
        <v>516</v>
      </c>
      <c r="B51" s="1543"/>
      <c r="C51" s="1487"/>
      <c r="D51" s="1544"/>
      <c r="E51" s="1540"/>
      <c r="F51" s="1522"/>
      <c r="G51" s="1487"/>
      <c r="H51" s="1487"/>
      <c r="I51" s="1540"/>
      <c r="J51" s="1520"/>
      <c r="K51" s="1487"/>
      <c r="L51" s="1487"/>
      <c r="M51" s="1540"/>
      <c r="N51" s="1520"/>
      <c r="O51" s="1487"/>
      <c r="P51" s="1487"/>
      <c r="Q51" s="1521"/>
      <c r="R51" s="1522"/>
      <c r="S51" s="1487"/>
      <c r="T51" s="1487"/>
      <c r="U51" s="1540"/>
      <c r="V51" s="1520"/>
      <c r="W51" s="1487"/>
      <c r="X51" s="1487"/>
      <c r="Y51" s="1540"/>
      <c r="Z51" s="1520"/>
      <c r="AA51" s="1487"/>
      <c r="AB51" s="1487"/>
      <c r="AC51" s="1540"/>
      <c r="AD51" s="1520"/>
      <c r="AE51" s="1487"/>
      <c r="AF51" s="1487"/>
      <c r="AG51" s="1540"/>
      <c r="AH51" s="1520">
        <v>71.48</v>
      </c>
      <c r="AI51" s="1487">
        <v>11</v>
      </c>
      <c r="AJ51" s="1487">
        <v>11</v>
      </c>
      <c r="AK51" s="1540"/>
      <c r="AL51" s="1520"/>
      <c r="AM51" s="1487"/>
      <c r="AN51" s="1487"/>
      <c r="AO51" s="1540"/>
      <c r="AP51" s="1520"/>
      <c r="AQ51" s="1487"/>
      <c r="AR51" s="1487"/>
      <c r="AS51" s="1540"/>
      <c r="AT51" s="1520"/>
      <c r="AU51" s="1487"/>
      <c r="AV51" s="1487"/>
      <c r="AW51" s="1540"/>
      <c r="AX51" s="1520"/>
      <c r="AY51" s="1487"/>
      <c r="AZ51" s="1487"/>
      <c r="BA51" s="1540"/>
      <c r="BB51" s="1520"/>
      <c r="BC51" s="1487"/>
      <c r="BD51" s="1487"/>
      <c r="BE51" s="1540"/>
      <c r="BF51" s="1520">
        <v>244.29</v>
      </c>
      <c r="BG51" s="1487">
        <v>33</v>
      </c>
      <c r="BH51" s="1487">
        <v>33</v>
      </c>
      <c r="BI51" s="1540">
        <v>2768.1</v>
      </c>
      <c r="BJ51" s="1520">
        <v>27.75</v>
      </c>
      <c r="BK51" s="1487">
        <v>417</v>
      </c>
      <c r="BL51" s="1487">
        <v>398</v>
      </c>
      <c r="BM51" s="1540">
        <v>56.45</v>
      </c>
      <c r="BN51" s="1520">
        <v>665</v>
      </c>
      <c r="BO51" s="1487">
        <v>81</v>
      </c>
      <c r="BP51" s="1487">
        <v>56</v>
      </c>
      <c r="BQ51" s="1540">
        <v>3084</v>
      </c>
      <c r="BR51" s="1520"/>
      <c r="BS51" s="1487"/>
      <c r="BT51" s="1487"/>
      <c r="BU51" s="1540"/>
      <c r="BV51" s="1520"/>
      <c r="BW51" s="1487"/>
      <c r="BX51" s="1487"/>
      <c r="BY51" s="1540"/>
      <c r="BZ51" s="1520"/>
      <c r="CA51" s="1487"/>
      <c r="CB51" s="1487"/>
      <c r="CC51" s="1540"/>
      <c r="CD51" s="1487">
        <v>115.21</v>
      </c>
      <c r="CE51" s="1487">
        <v>18</v>
      </c>
      <c r="CF51" s="1540">
        <v>14</v>
      </c>
      <c r="CG51" s="1540"/>
      <c r="CH51" s="1520"/>
      <c r="CI51" s="1487"/>
      <c r="CJ51" s="1487"/>
      <c r="CK51" s="1540"/>
      <c r="CL51" s="1520"/>
      <c r="CM51" s="1487"/>
      <c r="CN51" s="1487"/>
      <c r="CO51" s="1540"/>
      <c r="CP51" s="1520"/>
      <c r="CQ51" s="1487"/>
      <c r="CR51" s="1487"/>
      <c r="CS51" s="1540"/>
    </row>
    <row r="52" spans="1:97" ht="16.5">
      <c r="A52" s="1485" t="s">
        <v>521</v>
      </c>
      <c r="B52" s="1522"/>
      <c r="C52" s="1487"/>
      <c r="D52" s="1487"/>
      <c r="E52" s="1540"/>
      <c r="F52" s="1522"/>
      <c r="G52" s="1487"/>
      <c r="H52" s="1487"/>
      <c r="I52" s="1540"/>
      <c r="J52" s="1520"/>
      <c r="K52" s="1487"/>
      <c r="L52" s="1487"/>
      <c r="M52" s="1540"/>
      <c r="N52" s="1520"/>
      <c r="O52" s="1487"/>
      <c r="P52" s="1487"/>
      <c r="Q52" s="1521"/>
      <c r="R52" s="1522"/>
      <c r="S52" s="1487"/>
      <c r="T52" s="1487"/>
      <c r="U52" s="1540"/>
      <c r="V52" s="1520"/>
      <c r="W52" s="1487"/>
      <c r="X52" s="1487"/>
      <c r="Y52" s="1540"/>
      <c r="Z52" s="1520"/>
      <c r="AA52" s="1487"/>
      <c r="AB52" s="1487"/>
      <c r="AC52" s="1540"/>
      <c r="AD52" s="1520"/>
      <c r="AE52" s="1487"/>
      <c r="AF52" s="1487"/>
      <c r="AG52" s="1540"/>
      <c r="AH52" s="1520"/>
      <c r="AI52" s="1487"/>
      <c r="AJ52" s="1487"/>
      <c r="AK52" s="1540"/>
      <c r="AL52" s="1520"/>
      <c r="AM52" s="1487"/>
      <c r="AN52" s="1487"/>
      <c r="AO52" s="1540"/>
      <c r="AP52" s="1520"/>
      <c r="AQ52" s="1487"/>
      <c r="AR52" s="1487"/>
      <c r="AS52" s="1540"/>
      <c r="AT52" s="1520"/>
      <c r="AU52" s="1487"/>
      <c r="AV52" s="1487"/>
      <c r="AW52" s="1540"/>
      <c r="AX52" s="1520"/>
      <c r="AY52" s="1487"/>
      <c r="AZ52" s="1487"/>
      <c r="BA52" s="1540"/>
      <c r="BB52" s="1520"/>
      <c r="BC52" s="1487"/>
      <c r="BD52" s="1487"/>
      <c r="BE52" s="1540"/>
      <c r="BF52" s="1520"/>
      <c r="BG52" s="1487"/>
      <c r="BH52" s="1487"/>
      <c r="BI52" s="1540"/>
      <c r="BJ52" s="1520"/>
      <c r="BK52" s="1487"/>
      <c r="BL52" s="1487"/>
      <c r="BM52" s="1540"/>
      <c r="BN52" s="1520"/>
      <c r="BO52" s="1487"/>
      <c r="BP52" s="1487"/>
      <c r="BQ52" s="1540"/>
      <c r="BR52" s="1520"/>
      <c r="BS52" s="1487"/>
      <c r="BT52" s="1487"/>
      <c r="BU52" s="1540"/>
      <c r="BV52" s="1520"/>
      <c r="BW52" s="1487"/>
      <c r="BX52" s="1487"/>
      <c r="BY52" s="1540"/>
      <c r="BZ52" s="1520"/>
      <c r="CA52" s="1487"/>
      <c r="CB52" s="1487"/>
      <c r="CC52" s="1540"/>
      <c r="CD52" s="1520"/>
      <c r="CE52" s="1487"/>
      <c r="CF52" s="1487"/>
      <c r="CG52" s="1540"/>
      <c r="CH52" s="1520"/>
      <c r="CI52" s="1487"/>
      <c r="CJ52" s="1487"/>
      <c r="CK52" s="1540"/>
      <c r="CL52" s="1520"/>
      <c r="CM52" s="1487"/>
      <c r="CN52" s="1487"/>
      <c r="CO52" s="1540"/>
      <c r="CP52" s="1520"/>
      <c r="CQ52" s="1487"/>
      <c r="CR52" s="1487"/>
      <c r="CS52" s="1540"/>
    </row>
    <row r="53" spans="1:97" ht="16.5">
      <c r="A53" s="1486" t="s">
        <v>502</v>
      </c>
      <c r="B53" s="1522">
        <v>50</v>
      </c>
      <c r="C53" s="1542">
        <v>2940</v>
      </c>
      <c r="D53" s="1544">
        <v>159847</v>
      </c>
      <c r="E53" s="1546">
        <v>1721398</v>
      </c>
      <c r="F53" s="1522"/>
      <c r="G53" s="1487"/>
      <c r="H53" s="1487"/>
      <c r="I53" s="1540"/>
      <c r="J53" s="1520"/>
      <c r="K53" s="1487"/>
      <c r="L53" s="1487"/>
      <c r="M53" s="1540"/>
      <c r="N53" s="1520"/>
      <c r="O53" s="1487"/>
      <c r="P53" s="1487"/>
      <c r="Q53" s="1521"/>
      <c r="R53" s="1522"/>
      <c r="S53" s="1487"/>
      <c r="T53" s="1487"/>
      <c r="U53" s="1540"/>
      <c r="V53" s="1520">
        <v>373</v>
      </c>
      <c r="W53" s="1487">
        <v>3</v>
      </c>
      <c r="X53" s="1487">
        <v>10240</v>
      </c>
      <c r="Y53" s="1540">
        <v>173720.3</v>
      </c>
      <c r="Z53" s="1520"/>
      <c r="AA53" s="1487"/>
      <c r="AB53" s="1487"/>
      <c r="AC53" s="1540"/>
      <c r="AD53" s="1520"/>
      <c r="AE53" s="1487"/>
      <c r="AF53" s="1487"/>
      <c r="AG53" s="1540"/>
      <c r="AH53" s="1520"/>
      <c r="AI53" s="1487"/>
      <c r="AJ53" s="1487"/>
      <c r="AK53" s="1540"/>
      <c r="AL53" s="1520">
        <v>9</v>
      </c>
      <c r="AM53" s="1487"/>
      <c r="AN53" s="1487">
        <v>38061</v>
      </c>
      <c r="AO53" s="1540">
        <v>43338</v>
      </c>
      <c r="AP53" s="1520"/>
      <c r="AQ53" s="1487"/>
      <c r="AR53" s="1487"/>
      <c r="AS53" s="1540"/>
      <c r="AT53" s="1520"/>
      <c r="AU53" s="1487"/>
      <c r="AV53" s="1487"/>
      <c r="AW53" s="1540"/>
      <c r="AX53" s="1520"/>
      <c r="AY53" s="1487"/>
      <c r="AZ53" s="1487"/>
      <c r="BA53" s="1540"/>
      <c r="BB53" s="1520"/>
      <c r="BC53" s="1487"/>
      <c r="BD53" s="1487"/>
      <c r="BE53" s="1540"/>
      <c r="BF53" s="1520">
        <v>-1895.56</v>
      </c>
      <c r="BG53" s="1487">
        <v>295</v>
      </c>
      <c r="BH53" s="1487">
        <v>324838</v>
      </c>
      <c r="BI53" s="1540">
        <v>-94196.07</v>
      </c>
      <c r="BJ53" s="1520"/>
      <c r="BK53" s="1487"/>
      <c r="BL53" s="1487"/>
      <c r="BM53" s="1540"/>
      <c r="BN53" s="1520"/>
      <c r="BO53" s="1487"/>
      <c r="BP53" s="1487"/>
      <c r="BQ53" s="1540"/>
      <c r="BR53" s="1520">
        <v>-1</v>
      </c>
      <c r="BS53" s="1487">
        <v>17</v>
      </c>
      <c r="BT53" s="1487">
        <v>9888</v>
      </c>
      <c r="BU53" s="1540">
        <v>20795</v>
      </c>
      <c r="BV53" s="1520"/>
      <c r="BW53" s="1487"/>
      <c r="BX53" s="1487"/>
      <c r="BY53" s="1540"/>
      <c r="BZ53" s="1520">
        <v>1</v>
      </c>
      <c r="CA53" s="1487">
        <v>14</v>
      </c>
      <c r="CB53" s="1487">
        <v>22712</v>
      </c>
      <c r="CC53" s="1540">
        <v>1692</v>
      </c>
      <c r="CD53" s="1487">
        <v>5.64</v>
      </c>
      <c r="CE53" s="1487"/>
      <c r="CF53" s="1487">
        <v>2439</v>
      </c>
      <c r="CG53" s="1540">
        <v>14091.24</v>
      </c>
      <c r="CH53" s="1520">
        <v>2.99</v>
      </c>
      <c r="CI53" s="1487"/>
      <c r="CJ53" s="1487">
        <v>697</v>
      </c>
      <c r="CK53" s="1540">
        <v>5562.37</v>
      </c>
      <c r="CL53" s="1487">
        <v>26</v>
      </c>
      <c r="CM53" s="1487">
        <v>6</v>
      </c>
      <c r="CN53" s="1540">
        <v>17291</v>
      </c>
      <c r="CO53" s="1540">
        <v>9035</v>
      </c>
      <c r="CP53" s="1520"/>
      <c r="CQ53" s="1487"/>
      <c r="CR53" s="1487"/>
      <c r="CS53" s="1540"/>
    </row>
    <row r="54" spans="1:97" ht="16.5">
      <c r="A54" s="1486" t="s">
        <v>503</v>
      </c>
      <c r="B54" s="1541">
        <v>151</v>
      </c>
      <c r="C54" s="1487">
        <v>656</v>
      </c>
      <c r="D54" s="1544">
        <v>49515</v>
      </c>
      <c r="E54" s="1546">
        <v>551218</v>
      </c>
      <c r="F54" s="1522"/>
      <c r="G54" s="1487"/>
      <c r="H54" s="1487"/>
      <c r="I54" s="1540"/>
      <c r="J54" s="1520"/>
      <c r="K54" s="1487"/>
      <c r="L54" s="1487"/>
      <c r="M54" s="1540"/>
      <c r="N54" s="1520"/>
      <c r="O54" s="1487"/>
      <c r="P54" s="1487"/>
      <c r="Q54" s="1521"/>
      <c r="R54" s="1522"/>
      <c r="S54" s="1487"/>
      <c r="T54" s="1487"/>
      <c r="U54" s="1540"/>
      <c r="V54" s="1520">
        <v>238</v>
      </c>
      <c r="W54" s="1487"/>
      <c r="X54" s="1487">
        <v>1512</v>
      </c>
      <c r="Y54" s="1540">
        <v>50588.3</v>
      </c>
      <c r="Z54" s="1520"/>
      <c r="AA54" s="1487"/>
      <c r="AB54" s="1487"/>
      <c r="AC54" s="1540"/>
      <c r="AD54" s="1520">
        <v>0.03</v>
      </c>
      <c r="AE54" s="1487"/>
      <c r="AF54" s="1487">
        <v>6</v>
      </c>
      <c r="AG54" s="1540">
        <v>21</v>
      </c>
      <c r="AH54" s="1520"/>
      <c r="AI54" s="1487"/>
      <c r="AJ54" s="1487"/>
      <c r="AK54" s="1540"/>
      <c r="AL54" s="1520">
        <v>19</v>
      </c>
      <c r="AM54" s="1487">
        <v>4</v>
      </c>
      <c r="AN54" s="1487">
        <v>4366</v>
      </c>
      <c r="AO54" s="1540">
        <v>79384</v>
      </c>
      <c r="AP54" s="1520"/>
      <c r="AQ54" s="1487"/>
      <c r="AR54" s="1487"/>
      <c r="AS54" s="1540"/>
      <c r="AT54" s="1520"/>
      <c r="AU54" s="1487"/>
      <c r="AV54" s="1487"/>
      <c r="AW54" s="1540"/>
      <c r="AX54" s="1520"/>
      <c r="AY54" s="1487"/>
      <c r="AZ54" s="1487"/>
      <c r="BA54" s="1540"/>
      <c r="BB54" s="1520"/>
      <c r="BC54" s="1487"/>
      <c r="BD54" s="1487"/>
      <c r="BE54" s="1540"/>
      <c r="BF54" s="1520">
        <v>20.37</v>
      </c>
      <c r="BG54" s="1487">
        <v>8</v>
      </c>
      <c r="BH54" s="1487">
        <v>35186</v>
      </c>
      <c r="BI54" s="1540">
        <v>36222.96</v>
      </c>
      <c r="BJ54" s="1520"/>
      <c r="BK54" s="1487"/>
      <c r="BL54" s="1487"/>
      <c r="BM54" s="1540"/>
      <c r="BN54" s="1520"/>
      <c r="BO54" s="1487"/>
      <c r="BP54" s="1487"/>
      <c r="BQ54" s="1540"/>
      <c r="BR54" s="1520">
        <v>4</v>
      </c>
      <c r="BS54" s="1487"/>
      <c r="BT54" s="1487">
        <v>957</v>
      </c>
      <c r="BU54" s="1540">
        <v>724</v>
      </c>
      <c r="BV54" s="1520"/>
      <c r="BW54" s="1487"/>
      <c r="BX54" s="1487"/>
      <c r="BY54" s="1540"/>
      <c r="BZ54" s="1520">
        <v>1</v>
      </c>
      <c r="CA54" s="1487">
        <v>59</v>
      </c>
      <c r="CB54" s="1487">
        <v>41573</v>
      </c>
      <c r="CC54" s="1540">
        <v>2854</v>
      </c>
      <c r="CD54" s="1487">
        <v>14.02</v>
      </c>
      <c r="CE54" s="1487"/>
      <c r="CF54" s="1487">
        <v>7358</v>
      </c>
      <c r="CG54" s="1540">
        <v>16947.73</v>
      </c>
      <c r="CH54" s="1520">
        <v>5.7</v>
      </c>
      <c r="CI54" s="1487">
        <v>2</v>
      </c>
      <c r="CJ54" s="1487">
        <v>963</v>
      </c>
      <c r="CK54" s="1540">
        <v>10465.32</v>
      </c>
      <c r="CL54" s="1487">
        <v>4</v>
      </c>
      <c r="CM54" s="1487">
        <v>15</v>
      </c>
      <c r="CN54" s="1540">
        <v>566</v>
      </c>
      <c r="CO54" s="1540">
        <v>2869</v>
      </c>
      <c r="CP54" s="1520"/>
      <c r="CQ54" s="1487"/>
      <c r="CR54" s="1487"/>
      <c r="CS54" s="1540"/>
    </row>
    <row r="55" spans="1:97" ht="16.5">
      <c r="A55" s="1486" t="s">
        <v>504</v>
      </c>
      <c r="B55" s="1541">
        <v>206</v>
      </c>
      <c r="C55" s="1487">
        <v>444</v>
      </c>
      <c r="D55" s="1544">
        <v>65384</v>
      </c>
      <c r="E55" s="1546">
        <v>622973</v>
      </c>
      <c r="F55" s="1522"/>
      <c r="G55" s="1487"/>
      <c r="H55" s="1487"/>
      <c r="I55" s="1540"/>
      <c r="J55" s="1520"/>
      <c r="K55" s="1487"/>
      <c r="L55" s="1487"/>
      <c r="M55" s="1540"/>
      <c r="N55" s="1520"/>
      <c r="O55" s="1487"/>
      <c r="P55" s="1487"/>
      <c r="Q55" s="1521"/>
      <c r="R55" s="1522"/>
      <c r="S55" s="1487"/>
      <c r="T55" s="1487"/>
      <c r="U55" s="1540"/>
      <c r="V55" s="1520">
        <v>57.3</v>
      </c>
      <c r="W55" s="1487"/>
      <c r="X55" s="1487">
        <v>144</v>
      </c>
      <c r="Y55" s="1540">
        <v>9638.3</v>
      </c>
      <c r="Z55" s="1520"/>
      <c r="AA55" s="1487"/>
      <c r="AB55" s="1487"/>
      <c r="AC55" s="1540"/>
      <c r="AD55" s="1520">
        <v>0.11</v>
      </c>
      <c r="AE55" s="1487">
        <v>3</v>
      </c>
      <c r="AF55" s="1487">
        <v>3629</v>
      </c>
      <c r="AG55" s="1540">
        <v>99.09</v>
      </c>
      <c r="AH55" s="1520"/>
      <c r="AI55" s="1487"/>
      <c r="AJ55" s="1487"/>
      <c r="AK55" s="1540"/>
      <c r="AL55" s="1520">
        <v>32</v>
      </c>
      <c r="AM55" s="1487">
        <v>5</v>
      </c>
      <c r="AN55" s="1487">
        <v>4744</v>
      </c>
      <c r="AO55" s="1540">
        <v>123771</v>
      </c>
      <c r="AP55" s="1520"/>
      <c r="AQ55" s="1487"/>
      <c r="AR55" s="1487"/>
      <c r="AS55" s="1540"/>
      <c r="AT55" s="1520"/>
      <c r="AU55" s="1487"/>
      <c r="AV55" s="1487"/>
      <c r="AW55" s="1540"/>
      <c r="AX55" s="1520"/>
      <c r="AY55" s="1487"/>
      <c r="AZ55" s="1487"/>
      <c r="BA55" s="1540"/>
      <c r="BB55" s="1520"/>
      <c r="BC55" s="1487"/>
      <c r="BD55" s="1487"/>
      <c r="BE55" s="1540"/>
      <c r="BF55" s="1520">
        <v>29.14</v>
      </c>
      <c r="BG55" s="1487">
        <v>5</v>
      </c>
      <c r="BH55" s="1487">
        <v>9236</v>
      </c>
      <c r="BI55" s="1540">
        <v>33919.97</v>
      </c>
      <c r="BJ55" s="1520"/>
      <c r="BK55" s="1487"/>
      <c r="BL55" s="1487"/>
      <c r="BM55" s="1540"/>
      <c r="BN55" s="1520"/>
      <c r="BO55" s="1487"/>
      <c r="BP55" s="1487"/>
      <c r="BQ55" s="1540"/>
      <c r="BR55" s="1520">
        <v>14</v>
      </c>
      <c r="BS55" s="1487"/>
      <c r="BT55" s="1487">
        <v>-80</v>
      </c>
      <c r="BU55" s="1540">
        <v>1775</v>
      </c>
      <c r="BV55" s="1520"/>
      <c r="BW55" s="1487"/>
      <c r="BX55" s="1487"/>
      <c r="BY55" s="1540"/>
      <c r="BZ55" s="1520">
        <v>2</v>
      </c>
      <c r="CA55" s="1487">
        <v>44</v>
      </c>
      <c r="CB55" s="1487">
        <v>42942</v>
      </c>
      <c r="CC55" s="1540">
        <v>2957</v>
      </c>
      <c r="CD55" s="1487">
        <v>47.07</v>
      </c>
      <c r="CE55" s="1487"/>
      <c r="CF55" s="1487">
        <v>39519</v>
      </c>
      <c r="CG55" s="1540">
        <v>50844.54</v>
      </c>
      <c r="CH55" s="1520">
        <v>4.65</v>
      </c>
      <c r="CI55" s="1487"/>
      <c r="CJ55" s="1487">
        <v>2273</v>
      </c>
      <c r="CK55" s="1540">
        <v>6171.65</v>
      </c>
      <c r="CL55" s="1487">
        <v>8</v>
      </c>
      <c r="CM55" s="1487">
        <v>17</v>
      </c>
      <c r="CN55" s="1540">
        <v>10034</v>
      </c>
      <c r="CO55" s="1540">
        <v>6761</v>
      </c>
      <c r="CP55" s="1520"/>
      <c r="CQ55" s="1487"/>
      <c r="CR55" s="1487"/>
      <c r="CS55" s="1540"/>
    </row>
    <row r="56" spans="1:97" ht="16.5">
      <c r="A56" s="1486" t="s">
        <v>505</v>
      </c>
      <c r="B56" s="1541">
        <v>167</v>
      </c>
      <c r="C56" s="1487">
        <v>256</v>
      </c>
      <c r="D56" s="1544">
        <v>34341</v>
      </c>
      <c r="E56" s="1546">
        <v>461532</v>
      </c>
      <c r="F56" s="1522"/>
      <c r="G56" s="1487"/>
      <c r="H56" s="1487"/>
      <c r="I56" s="1488"/>
      <c r="J56" s="1520"/>
      <c r="K56" s="1487"/>
      <c r="L56" s="1487"/>
      <c r="M56" s="1540"/>
      <c r="N56" s="1520"/>
      <c r="O56" s="1487"/>
      <c r="P56" s="1487"/>
      <c r="Q56" s="1521"/>
      <c r="R56" s="1522"/>
      <c r="S56" s="1487"/>
      <c r="T56" s="1487"/>
      <c r="U56" s="1540"/>
      <c r="V56" s="1520">
        <v>12.5</v>
      </c>
      <c r="W56" s="1487"/>
      <c r="X56" s="1487">
        <v>15</v>
      </c>
      <c r="Y56" s="1540">
        <v>2427.4</v>
      </c>
      <c r="Z56" s="1520"/>
      <c r="AA56" s="1487"/>
      <c r="AB56" s="1487"/>
      <c r="AC56" s="1540"/>
      <c r="AD56" s="1520">
        <v>0.01</v>
      </c>
      <c r="AE56" s="1487">
        <v>2</v>
      </c>
      <c r="AF56" s="1487">
        <v>290</v>
      </c>
      <c r="AG56" s="1540">
        <v>13.98</v>
      </c>
      <c r="AH56" s="1520"/>
      <c r="AI56" s="1487"/>
      <c r="AJ56" s="1487"/>
      <c r="AK56" s="1540"/>
      <c r="AL56" s="1520">
        <v>36</v>
      </c>
      <c r="AM56" s="1487"/>
      <c r="AN56" s="1487">
        <v>4296</v>
      </c>
      <c r="AO56" s="1540">
        <v>97497</v>
      </c>
      <c r="AP56" s="1520"/>
      <c r="AQ56" s="1487"/>
      <c r="AR56" s="1487"/>
      <c r="AS56" s="1540"/>
      <c r="AT56" s="1520"/>
      <c r="AU56" s="1487"/>
      <c r="AV56" s="1487"/>
      <c r="AW56" s="1540"/>
      <c r="AX56" s="1520"/>
      <c r="AY56" s="1487"/>
      <c r="AZ56" s="1487"/>
      <c r="BA56" s="1540"/>
      <c r="BB56" s="1520"/>
      <c r="BC56" s="1487"/>
      <c r="BD56" s="1487"/>
      <c r="BE56" s="1540"/>
      <c r="BF56" s="1520">
        <v>24.69</v>
      </c>
      <c r="BG56" s="1487">
        <v>4</v>
      </c>
      <c r="BH56" s="1487">
        <v>8366</v>
      </c>
      <c r="BI56" s="1540">
        <v>14516.01</v>
      </c>
      <c r="BJ56" s="1520"/>
      <c r="BK56" s="1487"/>
      <c r="BL56" s="1487"/>
      <c r="BM56" s="1540"/>
      <c r="BN56" s="1520"/>
      <c r="BO56" s="1487"/>
      <c r="BP56" s="1487"/>
      <c r="BQ56" s="1540"/>
      <c r="BR56" s="1520">
        <v>9</v>
      </c>
      <c r="BS56" s="1487"/>
      <c r="BT56" s="1487">
        <v>-1</v>
      </c>
      <c r="BU56" s="1540"/>
      <c r="BV56" s="1520"/>
      <c r="BW56" s="1487"/>
      <c r="BX56" s="1487"/>
      <c r="BY56" s="1540"/>
      <c r="BZ56" s="1520">
        <v>2</v>
      </c>
      <c r="CA56" s="1487">
        <v>33</v>
      </c>
      <c r="CB56" s="1487">
        <v>32996</v>
      </c>
      <c r="CC56" s="1540">
        <v>2518</v>
      </c>
      <c r="CD56" s="1487">
        <v>55.85</v>
      </c>
      <c r="CE56" s="1487"/>
      <c r="CF56" s="1487">
        <v>62772</v>
      </c>
      <c r="CG56" s="1540">
        <v>53559</v>
      </c>
      <c r="CH56" s="1520">
        <v>0.8</v>
      </c>
      <c r="CI56" s="1487">
        <v>1</v>
      </c>
      <c r="CJ56" s="1487">
        <v>1694</v>
      </c>
      <c r="CK56" s="1540">
        <v>-671</v>
      </c>
      <c r="CL56" s="1487">
        <v>10</v>
      </c>
      <c r="CM56" s="1487">
        <v>15</v>
      </c>
      <c r="CN56" s="1540">
        <v>10839</v>
      </c>
      <c r="CO56" s="1540">
        <v>9043</v>
      </c>
      <c r="CP56" s="1520"/>
      <c r="CQ56" s="1487"/>
      <c r="CR56" s="1487"/>
      <c r="CS56" s="1540"/>
    </row>
    <row r="57" spans="1:97" ht="16.5">
      <c r="A57" s="1486" t="s">
        <v>506</v>
      </c>
      <c r="B57" s="1541">
        <v>119</v>
      </c>
      <c r="C57" s="1487">
        <v>161</v>
      </c>
      <c r="D57" s="1544">
        <v>23301</v>
      </c>
      <c r="E57" s="1546">
        <v>281210</v>
      </c>
      <c r="F57" s="1522"/>
      <c r="G57" s="1487"/>
      <c r="H57" s="1487"/>
      <c r="I57" s="1540"/>
      <c r="J57" s="1520"/>
      <c r="K57" s="1487"/>
      <c r="L57" s="1487"/>
      <c r="M57" s="1540"/>
      <c r="N57" s="1520"/>
      <c r="O57" s="1487"/>
      <c r="P57" s="1487"/>
      <c r="Q57" s="1521"/>
      <c r="R57" s="1522"/>
      <c r="S57" s="1487"/>
      <c r="T57" s="1487"/>
      <c r="U57" s="1540"/>
      <c r="V57" s="1520">
        <v>2.6</v>
      </c>
      <c r="W57" s="1487"/>
      <c r="X57" s="1487">
        <v>2</v>
      </c>
      <c r="Y57" s="1540">
        <v>719</v>
      </c>
      <c r="Z57" s="1520"/>
      <c r="AA57" s="1487"/>
      <c r="AB57" s="1487"/>
      <c r="AC57" s="1540"/>
      <c r="AD57" s="1520">
        <v>0.29</v>
      </c>
      <c r="AE57" s="1487">
        <v>3</v>
      </c>
      <c r="AF57" s="1487">
        <v>6681</v>
      </c>
      <c r="AG57" s="1540">
        <v>133.88</v>
      </c>
      <c r="AH57" s="1520"/>
      <c r="AI57" s="1487"/>
      <c r="AJ57" s="1487"/>
      <c r="AK57" s="1540"/>
      <c r="AL57" s="1520">
        <v>24</v>
      </c>
      <c r="AM57" s="1487">
        <v>1</v>
      </c>
      <c r="AN57" s="1487">
        <v>4322</v>
      </c>
      <c r="AO57" s="1540">
        <v>79119</v>
      </c>
      <c r="AP57" s="1520"/>
      <c r="AQ57" s="1487"/>
      <c r="AR57" s="1487"/>
      <c r="AS57" s="1540"/>
      <c r="AT57" s="1520"/>
      <c r="AU57" s="1487"/>
      <c r="AV57" s="1487"/>
      <c r="AW57" s="1540"/>
      <c r="AX57" s="1520"/>
      <c r="AY57" s="1487"/>
      <c r="AZ57" s="1487"/>
      <c r="BA57" s="1540"/>
      <c r="BB57" s="1520"/>
      <c r="BC57" s="1487"/>
      <c r="BD57" s="1487"/>
      <c r="BE57" s="1540"/>
      <c r="BF57" s="1520">
        <v>28.15</v>
      </c>
      <c r="BG57" s="1487">
        <v>8</v>
      </c>
      <c r="BH57" s="1487">
        <v>6985</v>
      </c>
      <c r="BI57" s="1540">
        <v>8029.46</v>
      </c>
      <c r="BJ57" s="1520"/>
      <c r="BK57" s="1487"/>
      <c r="BL57" s="1487"/>
      <c r="BM57" s="1540"/>
      <c r="BN57" s="1520"/>
      <c r="BO57" s="1487"/>
      <c r="BP57" s="1487"/>
      <c r="BQ57" s="1540"/>
      <c r="BR57" s="1520">
        <v>8</v>
      </c>
      <c r="BS57" s="1487"/>
      <c r="BT57" s="1487">
        <v>139</v>
      </c>
      <c r="BU57" s="1540"/>
      <c r="BV57" s="1520"/>
      <c r="BW57" s="1487"/>
      <c r="BX57" s="1487"/>
      <c r="BY57" s="1540"/>
      <c r="BZ57" s="1520">
        <v>2</v>
      </c>
      <c r="CA57" s="1487">
        <v>29</v>
      </c>
      <c r="CB57" s="1487">
        <v>29960</v>
      </c>
      <c r="CC57" s="1540">
        <v>1873</v>
      </c>
      <c r="CD57" s="1487">
        <v>23.13</v>
      </c>
      <c r="CE57" s="1487"/>
      <c r="CF57" s="1487">
        <v>15161</v>
      </c>
      <c r="CG57" s="1540">
        <v>26359.56</v>
      </c>
      <c r="CH57" s="1520">
        <v>-0.1</v>
      </c>
      <c r="CI57" s="1487"/>
      <c r="CJ57" s="1487">
        <v>-142</v>
      </c>
      <c r="CK57" s="1540">
        <v>-4190.44</v>
      </c>
      <c r="CL57" s="1487">
        <v>16</v>
      </c>
      <c r="CM57" s="1487">
        <v>11</v>
      </c>
      <c r="CN57" s="1540">
        <v>4227</v>
      </c>
      <c r="CO57" s="1540">
        <v>11072</v>
      </c>
      <c r="CP57" s="1520"/>
      <c r="CQ57" s="1487"/>
      <c r="CR57" s="1487"/>
      <c r="CS57" s="1540"/>
    </row>
    <row r="58" spans="1:97" ht="16.5">
      <c r="A58" s="1486" t="s">
        <v>507</v>
      </c>
      <c r="B58" s="1541">
        <v>129</v>
      </c>
      <c r="C58" s="1487">
        <v>125</v>
      </c>
      <c r="D58" s="1544">
        <v>17089</v>
      </c>
      <c r="E58" s="1546">
        <v>305032</v>
      </c>
      <c r="F58" s="1522"/>
      <c r="G58" s="1487"/>
      <c r="H58" s="1487"/>
      <c r="I58" s="1540"/>
      <c r="J58" s="1520"/>
      <c r="K58" s="1487"/>
      <c r="L58" s="1487"/>
      <c r="M58" s="1540"/>
      <c r="N58" s="1520"/>
      <c r="O58" s="1487"/>
      <c r="P58" s="1487"/>
      <c r="Q58" s="1521"/>
      <c r="R58" s="1522"/>
      <c r="S58" s="1487"/>
      <c r="T58" s="1487"/>
      <c r="U58" s="1540"/>
      <c r="V58" s="1520">
        <v>1.7</v>
      </c>
      <c r="W58" s="1487"/>
      <c r="X58" s="1487"/>
      <c r="Y58" s="1540"/>
      <c r="Z58" s="1520"/>
      <c r="AA58" s="1487"/>
      <c r="AB58" s="1487"/>
      <c r="AC58" s="1540"/>
      <c r="AD58" s="1520">
        <v>0.18</v>
      </c>
      <c r="AE58" s="1487">
        <v>2</v>
      </c>
      <c r="AF58" s="1487">
        <v>11074</v>
      </c>
      <c r="AG58" s="1540">
        <v>75.09</v>
      </c>
      <c r="AH58" s="1520"/>
      <c r="AI58" s="1487"/>
      <c r="AJ58" s="1487"/>
      <c r="AK58" s="1540"/>
      <c r="AL58" s="1520">
        <v>30</v>
      </c>
      <c r="AM58" s="1487">
        <v>1</v>
      </c>
      <c r="AN58" s="1487">
        <v>3507</v>
      </c>
      <c r="AO58" s="1540">
        <v>89171</v>
      </c>
      <c r="AP58" s="1520"/>
      <c r="AQ58" s="1487"/>
      <c r="AR58" s="1487"/>
      <c r="AS58" s="1540"/>
      <c r="AT58" s="1520"/>
      <c r="AU58" s="1487"/>
      <c r="AV58" s="1487"/>
      <c r="AW58" s="1540"/>
      <c r="AX58" s="1520"/>
      <c r="AY58" s="1487"/>
      <c r="AZ58" s="1487"/>
      <c r="BA58" s="1540"/>
      <c r="BB58" s="1520"/>
      <c r="BC58" s="1487"/>
      <c r="BD58" s="1487"/>
      <c r="BE58" s="1540"/>
      <c r="BF58" s="1520">
        <v>20.32</v>
      </c>
      <c r="BG58" s="1487">
        <v>2</v>
      </c>
      <c r="BH58" s="1487">
        <v>3086</v>
      </c>
      <c r="BI58" s="1540">
        <v>21333.07</v>
      </c>
      <c r="BJ58" s="1520"/>
      <c r="BK58" s="1487"/>
      <c r="BL58" s="1487"/>
      <c r="BM58" s="1540"/>
      <c r="BN58" s="1520"/>
      <c r="BO58" s="1487"/>
      <c r="BP58" s="1487"/>
      <c r="BQ58" s="1540"/>
      <c r="BR58" s="1520">
        <v>6</v>
      </c>
      <c r="BS58" s="1487"/>
      <c r="BT58" s="1487">
        <v>-1</v>
      </c>
      <c r="BU58" s="1540"/>
      <c r="BV58" s="1520"/>
      <c r="BW58" s="1487"/>
      <c r="BX58" s="1487"/>
      <c r="BY58" s="1540"/>
      <c r="BZ58" s="1520">
        <v>1</v>
      </c>
      <c r="CA58" s="1487">
        <v>35</v>
      </c>
      <c r="CB58" s="1487">
        <v>48603</v>
      </c>
      <c r="CC58" s="1540">
        <v>3004</v>
      </c>
      <c r="CD58" s="1487">
        <v>20.22</v>
      </c>
      <c r="CE58" s="1487"/>
      <c r="CF58" s="1487">
        <v>11905</v>
      </c>
      <c r="CG58" s="1540">
        <v>12772.36</v>
      </c>
      <c r="CH58" s="1520">
        <v>2.27</v>
      </c>
      <c r="CI58" s="1487"/>
      <c r="CJ58" s="1487">
        <v>395</v>
      </c>
      <c r="CK58" s="1540">
        <v>8380</v>
      </c>
      <c r="CL58" s="1487">
        <v>10</v>
      </c>
      <c r="CM58" s="1487">
        <v>7</v>
      </c>
      <c r="CN58" s="1540">
        <v>1259</v>
      </c>
      <c r="CO58" s="1540">
        <v>11162</v>
      </c>
      <c r="CP58" s="1520"/>
      <c r="CQ58" s="1487"/>
      <c r="CR58" s="1487"/>
      <c r="CS58" s="1540"/>
    </row>
    <row r="59" spans="1:97" ht="16.5">
      <c r="A59" s="1486" t="s">
        <v>508</v>
      </c>
      <c r="B59" s="1547">
        <v>9167</v>
      </c>
      <c r="C59" s="1487">
        <v>1409</v>
      </c>
      <c r="D59" s="1542">
        <v>1053873</v>
      </c>
      <c r="E59" s="1546">
        <v>11746207</v>
      </c>
      <c r="F59" s="1522">
        <v>1746</v>
      </c>
      <c r="G59" s="1489">
        <v>114</v>
      </c>
      <c r="H59" s="1487">
        <v>251685</v>
      </c>
      <c r="I59" s="1540">
        <v>2334393</v>
      </c>
      <c r="J59" s="1520"/>
      <c r="K59" s="1487"/>
      <c r="L59" s="1487"/>
      <c r="M59" s="1540"/>
      <c r="N59" s="1520"/>
      <c r="O59" s="1487"/>
      <c r="P59" s="1487"/>
      <c r="Q59" s="1521"/>
      <c r="R59" s="1522"/>
      <c r="S59" s="1487"/>
      <c r="T59" s="1487"/>
      <c r="U59" s="1540"/>
      <c r="V59" s="1520">
        <v>6.3</v>
      </c>
      <c r="W59" s="1487"/>
      <c r="X59" s="1487">
        <v>4</v>
      </c>
      <c r="Y59" s="1540">
        <v>942.4</v>
      </c>
      <c r="Z59" s="1520"/>
      <c r="AA59" s="1487"/>
      <c r="AB59" s="1487"/>
      <c r="AC59" s="1540"/>
      <c r="AD59" s="1520">
        <v>29.3</v>
      </c>
      <c r="AE59" s="1487">
        <v>39</v>
      </c>
      <c r="AF59" s="1487">
        <v>163133</v>
      </c>
      <c r="AG59" s="1540">
        <v>14375.78</v>
      </c>
      <c r="AH59" s="1520">
        <v>11500.52</v>
      </c>
      <c r="AI59" s="1487">
        <v>47</v>
      </c>
      <c r="AJ59" s="1487">
        <v>1883011</v>
      </c>
      <c r="AK59" s="1540">
        <v>5155691.4</v>
      </c>
      <c r="AL59" s="1520">
        <v>31651</v>
      </c>
      <c r="AM59" s="1487">
        <v>40</v>
      </c>
      <c r="AN59" s="1487">
        <v>428680</v>
      </c>
      <c r="AO59" s="1540">
        <v>4238046</v>
      </c>
      <c r="AP59" s="1520"/>
      <c r="AQ59" s="1487"/>
      <c r="AR59" s="1487"/>
      <c r="AS59" s="1540"/>
      <c r="AT59" s="1520"/>
      <c r="AU59" s="1487"/>
      <c r="AV59" s="1487"/>
      <c r="AW59" s="1540"/>
      <c r="AX59" s="1520">
        <v>0.33</v>
      </c>
      <c r="AY59" s="1487">
        <v>0</v>
      </c>
      <c r="AZ59" s="1487">
        <v>53944</v>
      </c>
      <c r="BA59" s="1540">
        <v>112.41</v>
      </c>
      <c r="BB59" s="1520"/>
      <c r="BC59" s="1487"/>
      <c r="BD59" s="1487"/>
      <c r="BE59" s="1540"/>
      <c r="BF59" s="1520">
        <v>101232.91</v>
      </c>
      <c r="BG59" s="1487">
        <v>197</v>
      </c>
      <c r="BH59" s="1487">
        <v>458905</v>
      </c>
      <c r="BI59" s="1540">
        <v>3092564.95</v>
      </c>
      <c r="BJ59" s="1520"/>
      <c r="BK59" s="1487"/>
      <c r="BL59" s="1487"/>
      <c r="BM59" s="1540"/>
      <c r="BN59" s="1520"/>
      <c r="BO59" s="1487"/>
      <c r="BP59" s="1487"/>
      <c r="BQ59" s="1540"/>
      <c r="BR59" s="1520">
        <v>4922</v>
      </c>
      <c r="BS59" s="1487">
        <v>3</v>
      </c>
      <c r="BT59" s="1487">
        <v>304</v>
      </c>
      <c r="BU59" s="1540">
        <v>1000</v>
      </c>
      <c r="BV59" s="1520"/>
      <c r="BW59" s="1487"/>
      <c r="BX59" s="1487"/>
      <c r="BY59" s="1540"/>
      <c r="BZ59" s="1520">
        <v>212</v>
      </c>
      <c r="CA59" s="1487">
        <v>375</v>
      </c>
      <c r="CB59" s="1487">
        <v>6850904</v>
      </c>
      <c r="CC59" s="1540">
        <v>259744</v>
      </c>
      <c r="CD59" s="1487">
        <v>1172</v>
      </c>
      <c r="CE59" s="1487">
        <v>12</v>
      </c>
      <c r="CF59" s="1487">
        <v>582927</v>
      </c>
      <c r="CG59" s="1540">
        <v>773898.88</v>
      </c>
      <c r="CH59" s="1520">
        <v>3643.63</v>
      </c>
      <c r="CI59" s="1487">
        <v>10</v>
      </c>
      <c r="CJ59" s="1487">
        <v>1436498</v>
      </c>
      <c r="CK59" s="1540">
        <v>2950285.54</v>
      </c>
      <c r="CL59" s="1487">
        <v>12028</v>
      </c>
      <c r="CM59" s="1487">
        <v>183</v>
      </c>
      <c r="CN59" s="1540">
        <v>401938</v>
      </c>
      <c r="CO59" s="1540">
        <v>6489835</v>
      </c>
      <c r="CP59" s="1520"/>
      <c r="CQ59" s="1487"/>
      <c r="CR59" s="1487"/>
      <c r="CS59" s="1540"/>
    </row>
    <row r="60" spans="1:97" ht="16.5">
      <c r="A60" s="1485" t="s">
        <v>522</v>
      </c>
      <c r="B60" s="1522"/>
      <c r="C60" s="1487"/>
      <c r="D60" s="1487"/>
      <c r="E60" s="1540"/>
      <c r="F60" s="1522"/>
      <c r="G60" s="1487"/>
      <c r="H60" s="1487"/>
      <c r="I60" s="1540"/>
      <c r="J60" s="1490"/>
      <c r="K60" s="1487"/>
      <c r="L60" s="1487"/>
      <c r="M60" s="1540"/>
      <c r="N60" s="1520"/>
      <c r="O60" s="1487"/>
      <c r="P60" s="1487"/>
      <c r="Q60" s="1521"/>
      <c r="R60" s="1522"/>
      <c r="S60" s="1487"/>
      <c r="T60" s="1487"/>
      <c r="U60" s="1540"/>
      <c r="V60" s="1520"/>
      <c r="W60" s="1487"/>
      <c r="X60" s="1487"/>
      <c r="Y60" s="1540"/>
      <c r="Z60" s="1520"/>
      <c r="AA60" s="1487"/>
      <c r="AB60" s="1487"/>
      <c r="AC60" s="1540"/>
      <c r="AD60" s="1520"/>
      <c r="AE60" s="1487"/>
      <c r="AF60" s="1487"/>
      <c r="AG60" s="1540"/>
      <c r="AH60" s="1520"/>
      <c r="AI60" s="1487"/>
      <c r="AJ60" s="1487"/>
      <c r="AK60" s="1540"/>
      <c r="AL60" s="1520"/>
      <c r="AM60" s="1487"/>
      <c r="AN60" s="1487"/>
      <c r="AO60" s="1540"/>
      <c r="AP60" s="1520"/>
      <c r="AQ60" s="1487"/>
      <c r="AR60" s="1487"/>
      <c r="AS60" s="1540"/>
      <c r="AT60" s="1520"/>
      <c r="AU60" s="1487"/>
      <c r="AV60" s="1487"/>
      <c r="AW60" s="1540"/>
      <c r="AX60" s="1520"/>
      <c r="AY60" s="1487"/>
      <c r="AZ60" s="1487"/>
      <c r="BA60" s="1540"/>
      <c r="BB60" s="1520"/>
      <c r="BC60" s="1487"/>
      <c r="BD60" s="1487"/>
      <c r="BE60" s="1540"/>
      <c r="BF60" s="1520"/>
      <c r="BG60" s="1487"/>
      <c r="BH60" s="1487"/>
      <c r="BI60" s="1540"/>
      <c r="BJ60" s="1520"/>
      <c r="BK60" s="1487"/>
      <c r="BL60" s="1487"/>
      <c r="BM60" s="1540"/>
      <c r="BN60" s="1520"/>
      <c r="BO60" s="1487"/>
      <c r="BP60" s="1487"/>
      <c r="BQ60" s="1540"/>
      <c r="BR60" s="1520"/>
      <c r="BS60" s="1487"/>
      <c r="BT60" s="1487"/>
      <c r="BU60" s="1540"/>
      <c r="BV60" s="1520"/>
      <c r="BW60" s="1487"/>
      <c r="BX60" s="1487"/>
      <c r="BY60" s="1540"/>
      <c r="BZ60" s="1520"/>
      <c r="CA60" s="1487"/>
      <c r="CB60" s="1487"/>
      <c r="CC60" s="1540"/>
      <c r="CD60" s="1520"/>
      <c r="CE60" s="1487"/>
      <c r="CF60" s="1487"/>
      <c r="CG60" s="1540"/>
      <c r="CH60" s="1520"/>
      <c r="CI60" s="1487"/>
      <c r="CJ60" s="1487"/>
      <c r="CK60" s="1540"/>
      <c r="CL60" s="1520"/>
      <c r="CM60" s="1487"/>
      <c r="CN60" s="1487"/>
      <c r="CO60" s="1540"/>
      <c r="CP60" s="1520"/>
      <c r="CQ60" s="1487"/>
      <c r="CR60" s="1487"/>
      <c r="CS60" s="1540"/>
    </row>
    <row r="61" spans="1:97" ht="16.5">
      <c r="A61" s="1486" t="s">
        <v>502</v>
      </c>
      <c r="B61" s="1543"/>
      <c r="C61" s="1487"/>
      <c r="D61" s="1544"/>
      <c r="E61" s="1540"/>
      <c r="F61" s="1491"/>
      <c r="G61" s="1487"/>
      <c r="H61" s="1487"/>
      <c r="I61" s="1540"/>
      <c r="J61" s="1520"/>
      <c r="K61" s="1487"/>
      <c r="L61" s="1487"/>
      <c r="M61" s="1540"/>
      <c r="N61" s="1520"/>
      <c r="O61" s="1487"/>
      <c r="P61" s="1487"/>
      <c r="Q61" s="1521"/>
      <c r="R61" s="1522"/>
      <c r="S61" s="1487"/>
      <c r="T61" s="1487"/>
      <c r="U61" s="1540"/>
      <c r="V61" s="1520"/>
      <c r="W61" s="1487"/>
      <c r="X61" s="1487"/>
      <c r="Y61" s="1540"/>
      <c r="Z61" s="1520"/>
      <c r="AA61" s="1487"/>
      <c r="AB61" s="1487"/>
      <c r="AC61" s="1540"/>
      <c r="AD61" s="1520"/>
      <c r="AE61" s="1487"/>
      <c r="AF61" s="1487"/>
      <c r="AG61" s="1540"/>
      <c r="AH61" s="1520"/>
      <c r="AI61" s="1487"/>
      <c r="AJ61" s="1487"/>
      <c r="AK61" s="1540"/>
      <c r="AL61" s="1520"/>
      <c r="AM61" s="1487"/>
      <c r="AN61" s="1487"/>
      <c r="AO61" s="1540"/>
      <c r="AP61" s="1520"/>
      <c r="AQ61" s="1487"/>
      <c r="AR61" s="1487"/>
      <c r="AS61" s="1540"/>
      <c r="AT61" s="1520"/>
      <c r="AU61" s="1487"/>
      <c r="AV61" s="1487"/>
      <c r="AW61" s="1540"/>
      <c r="AX61" s="1520"/>
      <c r="AY61" s="1487"/>
      <c r="AZ61" s="1487"/>
      <c r="BA61" s="1540"/>
      <c r="BB61" s="1520"/>
      <c r="BC61" s="1487"/>
      <c r="BD61" s="1487"/>
      <c r="BE61" s="1540"/>
      <c r="BF61" s="1520">
        <v>-11.22</v>
      </c>
      <c r="BG61" s="1487">
        <v>23</v>
      </c>
      <c r="BH61" s="1487">
        <v>100904</v>
      </c>
      <c r="BI61" s="1540">
        <v>17493.22</v>
      </c>
      <c r="BJ61" s="1520"/>
      <c r="BK61" s="1487"/>
      <c r="BL61" s="1487"/>
      <c r="BM61" s="1540"/>
      <c r="BN61" s="1520"/>
      <c r="BO61" s="1487"/>
      <c r="BP61" s="1487"/>
      <c r="BQ61" s="1540"/>
      <c r="BR61" s="1520"/>
      <c r="BS61" s="1487"/>
      <c r="BT61" s="1487"/>
      <c r="BU61" s="1540"/>
      <c r="BV61" s="1520"/>
      <c r="BW61" s="1487"/>
      <c r="BX61" s="1487"/>
      <c r="BY61" s="1540"/>
      <c r="BZ61" s="1520"/>
      <c r="CA61" s="1487"/>
      <c r="CB61" s="1487"/>
      <c r="CC61" s="1540"/>
      <c r="CD61" s="1520"/>
      <c r="CE61" s="1487"/>
      <c r="CF61" s="1487"/>
      <c r="CG61" s="1540"/>
      <c r="CH61" s="1520"/>
      <c r="CI61" s="1487"/>
      <c r="CJ61" s="1487"/>
      <c r="CK61" s="1540"/>
      <c r="CL61" s="1520"/>
      <c r="CM61" s="1487"/>
      <c r="CN61" s="1487"/>
      <c r="CO61" s="1540"/>
      <c r="CP61" s="1520"/>
      <c r="CQ61" s="1487"/>
      <c r="CR61" s="1487"/>
      <c r="CS61" s="1540"/>
    </row>
    <row r="62" spans="1:97" ht="16.5">
      <c r="A62" s="1486" t="s">
        <v>503</v>
      </c>
      <c r="B62" s="1543"/>
      <c r="C62" s="1487"/>
      <c r="D62" s="1544"/>
      <c r="E62" s="1540"/>
      <c r="F62" s="1522"/>
      <c r="G62" s="1487"/>
      <c r="H62" s="1487"/>
      <c r="I62" s="1488"/>
      <c r="J62" s="1490"/>
      <c r="K62" s="1487"/>
      <c r="L62" s="1487"/>
      <c r="M62" s="1540"/>
      <c r="N62" s="1520"/>
      <c r="O62" s="1487"/>
      <c r="P62" s="1487"/>
      <c r="Q62" s="1521"/>
      <c r="R62" s="1522"/>
      <c r="S62" s="1487"/>
      <c r="T62" s="1487"/>
      <c r="U62" s="1540"/>
      <c r="V62" s="1520"/>
      <c r="W62" s="1487"/>
      <c r="X62" s="1487"/>
      <c r="Y62" s="1540"/>
      <c r="Z62" s="1520"/>
      <c r="AA62" s="1487"/>
      <c r="AB62" s="1487"/>
      <c r="AC62" s="1540"/>
      <c r="AD62" s="1520"/>
      <c r="AE62" s="1487"/>
      <c r="AF62" s="1487"/>
      <c r="AG62" s="1540"/>
      <c r="AH62" s="1520"/>
      <c r="AI62" s="1487"/>
      <c r="AJ62" s="1487"/>
      <c r="AK62" s="1540"/>
      <c r="AL62" s="1520"/>
      <c r="AM62" s="1487"/>
      <c r="AN62" s="1487"/>
      <c r="AO62" s="1540"/>
      <c r="AP62" s="1520"/>
      <c r="AQ62" s="1487"/>
      <c r="AR62" s="1487"/>
      <c r="AS62" s="1540"/>
      <c r="AT62" s="1520"/>
      <c r="AU62" s="1487"/>
      <c r="AV62" s="1487"/>
      <c r="AW62" s="1540"/>
      <c r="AX62" s="1520"/>
      <c r="AY62" s="1487"/>
      <c r="AZ62" s="1487"/>
      <c r="BA62" s="1540"/>
      <c r="BB62" s="1520"/>
      <c r="BC62" s="1487"/>
      <c r="BD62" s="1487"/>
      <c r="BE62" s="1540"/>
      <c r="BF62" s="1520">
        <v>3.25</v>
      </c>
      <c r="BG62" s="1487"/>
      <c r="BH62" s="1487">
        <v>-1</v>
      </c>
      <c r="BI62" s="1540">
        <v>1.83</v>
      </c>
      <c r="BJ62" s="1520"/>
      <c r="BK62" s="1487"/>
      <c r="BL62" s="1487"/>
      <c r="BM62" s="1540"/>
      <c r="BN62" s="1520"/>
      <c r="BO62" s="1487"/>
      <c r="BP62" s="1487"/>
      <c r="BQ62" s="1540"/>
      <c r="BR62" s="1520"/>
      <c r="BS62" s="1487"/>
      <c r="BT62" s="1487"/>
      <c r="BU62" s="1540"/>
      <c r="BV62" s="1520"/>
      <c r="BW62" s="1487"/>
      <c r="BX62" s="1487"/>
      <c r="BY62" s="1540"/>
      <c r="BZ62" s="1520"/>
      <c r="CA62" s="1487"/>
      <c r="CB62" s="1487"/>
      <c r="CC62" s="1540"/>
      <c r="CD62" s="1520"/>
      <c r="CE62" s="1487"/>
      <c r="CF62" s="1487"/>
      <c r="CG62" s="1540"/>
      <c r="CH62" s="1520"/>
      <c r="CI62" s="1487"/>
      <c r="CJ62" s="1487"/>
      <c r="CK62" s="1540"/>
      <c r="CL62" s="1520"/>
      <c r="CM62" s="1487"/>
      <c r="CN62" s="1487"/>
      <c r="CO62" s="1540"/>
      <c r="CP62" s="1520"/>
      <c r="CQ62" s="1487"/>
      <c r="CR62" s="1487"/>
      <c r="CS62" s="1540"/>
    </row>
    <row r="63" spans="1:97" ht="16.5">
      <c r="A63" s="1486" t="s">
        <v>504</v>
      </c>
      <c r="B63" s="1543"/>
      <c r="C63" s="1487"/>
      <c r="D63" s="1544"/>
      <c r="E63" s="1540"/>
      <c r="F63" s="1522"/>
      <c r="G63" s="1489"/>
      <c r="H63" s="1487"/>
      <c r="I63" s="1540"/>
      <c r="J63" s="1490"/>
      <c r="K63" s="1487"/>
      <c r="L63" s="1487"/>
      <c r="M63" s="1540"/>
      <c r="N63" s="1520"/>
      <c r="O63" s="1487"/>
      <c r="P63" s="1487"/>
      <c r="Q63" s="1521"/>
      <c r="R63" s="1522"/>
      <c r="S63" s="1487"/>
      <c r="T63" s="1487"/>
      <c r="U63" s="1540"/>
      <c r="V63" s="1520"/>
      <c r="W63" s="1487"/>
      <c r="X63" s="1487"/>
      <c r="Y63" s="1540"/>
      <c r="Z63" s="1520"/>
      <c r="AA63" s="1487"/>
      <c r="AB63" s="1487"/>
      <c r="AC63" s="1540"/>
      <c r="AD63" s="1520"/>
      <c r="AE63" s="1487"/>
      <c r="AF63" s="1487"/>
      <c r="AG63" s="1540"/>
      <c r="AH63" s="1520"/>
      <c r="AI63" s="1487"/>
      <c r="AJ63" s="1487"/>
      <c r="AK63" s="1540"/>
      <c r="AL63" s="1520"/>
      <c r="AM63" s="1487"/>
      <c r="AN63" s="1487"/>
      <c r="AO63" s="1540"/>
      <c r="AP63" s="1520"/>
      <c r="AQ63" s="1487"/>
      <c r="AR63" s="1487"/>
      <c r="AS63" s="1540"/>
      <c r="AT63" s="1520"/>
      <c r="AU63" s="1487"/>
      <c r="AV63" s="1487"/>
      <c r="AW63" s="1540"/>
      <c r="AX63" s="1520"/>
      <c r="AY63" s="1487"/>
      <c r="AZ63" s="1487"/>
      <c r="BA63" s="1540"/>
      <c r="BB63" s="1520"/>
      <c r="BC63" s="1487"/>
      <c r="BD63" s="1487"/>
      <c r="BE63" s="1540"/>
      <c r="BF63" s="1520">
        <v>8.63</v>
      </c>
      <c r="BG63" s="1487"/>
      <c r="BH63" s="1487">
        <v>-1</v>
      </c>
      <c r="BI63" s="1540">
        <v>15.89</v>
      </c>
      <c r="BJ63" s="1520"/>
      <c r="BK63" s="1487"/>
      <c r="BL63" s="1487"/>
      <c r="BM63" s="1540"/>
      <c r="BN63" s="1520"/>
      <c r="BO63" s="1487"/>
      <c r="BP63" s="1487"/>
      <c r="BQ63" s="1540"/>
      <c r="BR63" s="1520"/>
      <c r="BS63" s="1487"/>
      <c r="BT63" s="1487"/>
      <c r="BU63" s="1540"/>
      <c r="BV63" s="1520"/>
      <c r="BW63" s="1487"/>
      <c r="BX63" s="1487"/>
      <c r="BY63" s="1540"/>
      <c r="BZ63" s="1520"/>
      <c r="CA63" s="1487"/>
      <c r="CB63" s="1487"/>
      <c r="CC63" s="1540"/>
      <c r="CD63" s="1520"/>
      <c r="CE63" s="1487"/>
      <c r="CF63" s="1487"/>
      <c r="CG63" s="1540"/>
      <c r="CH63" s="1520"/>
      <c r="CI63" s="1487"/>
      <c r="CJ63" s="1487"/>
      <c r="CK63" s="1540"/>
      <c r="CL63" s="1520"/>
      <c r="CM63" s="1487"/>
      <c r="CN63" s="1487"/>
      <c r="CO63" s="1540"/>
      <c r="CP63" s="1520"/>
      <c r="CQ63" s="1487"/>
      <c r="CR63" s="1487"/>
      <c r="CS63" s="1540"/>
    </row>
    <row r="64" spans="1:97" ht="16.5">
      <c r="A64" s="1486" t="s">
        <v>505</v>
      </c>
      <c r="B64" s="1543"/>
      <c r="C64" s="1487"/>
      <c r="D64" s="1544"/>
      <c r="E64" s="1540"/>
      <c r="F64" s="1522"/>
      <c r="G64" s="1487"/>
      <c r="H64" s="1487"/>
      <c r="I64" s="1540"/>
      <c r="J64" s="1520"/>
      <c r="K64" s="1487"/>
      <c r="L64" s="1487"/>
      <c r="M64" s="1540"/>
      <c r="N64" s="1520"/>
      <c r="O64" s="1487"/>
      <c r="P64" s="1487"/>
      <c r="Q64" s="1521"/>
      <c r="R64" s="1522"/>
      <c r="S64" s="1487"/>
      <c r="T64" s="1487"/>
      <c r="U64" s="1540"/>
      <c r="V64" s="1520"/>
      <c r="W64" s="1487"/>
      <c r="X64" s="1487"/>
      <c r="Y64" s="1540"/>
      <c r="Z64" s="1520"/>
      <c r="AA64" s="1487"/>
      <c r="AB64" s="1487"/>
      <c r="AC64" s="1540"/>
      <c r="AD64" s="1520"/>
      <c r="AE64" s="1487"/>
      <c r="AF64" s="1487"/>
      <c r="AG64" s="1540"/>
      <c r="AH64" s="1520"/>
      <c r="AI64" s="1487"/>
      <c r="AJ64" s="1487"/>
      <c r="AK64" s="1540"/>
      <c r="AL64" s="1520"/>
      <c r="AM64" s="1487"/>
      <c r="AN64" s="1487"/>
      <c r="AO64" s="1540"/>
      <c r="AP64" s="1520"/>
      <c r="AQ64" s="1487"/>
      <c r="AR64" s="1487"/>
      <c r="AS64" s="1540"/>
      <c r="AT64" s="1520"/>
      <c r="AU64" s="1487"/>
      <c r="AV64" s="1487"/>
      <c r="AW64" s="1540"/>
      <c r="AX64" s="1520"/>
      <c r="AY64" s="1487"/>
      <c r="AZ64" s="1487"/>
      <c r="BA64" s="1540"/>
      <c r="BB64" s="1520"/>
      <c r="BC64" s="1487"/>
      <c r="BD64" s="1487"/>
      <c r="BE64" s="1540"/>
      <c r="BF64" s="1520">
        <v>7.18</v>
      </c>
      <c r="BG64" s="1487"/>
      <c r="BH64" s="1487">
        <v>1</v>
      </c>
      <c r="BI64" s="1540">
        <v>16.87</v>
      </c>
      <c r="BJ64" s="1520"/>
      <c r="BK64" s="1487"/>
      <c r="BL64" s="1487"/>
      <c r="BM64" s="1540"/>
      <c r="BN64" s="1520"/>
      <c r="BO64" s="1487"/>
      <c r="BP64" s="1487"/>
      <c r="BQ64" s="1540"/>
      <c r="BR64" s="1520"/>
      <c r="BS64" s="1487"/>
      <c r="BT64" s="1487"/>
      <c r="BU64" s="1540"/>
      <c r="BV64" s="1520"/>
      <c r="BW64" s="1487"/>
      <c r="BX64" s="1487"/>
      <c r="BY64" s="1540"/>
      <c r="BZ64" s="1520"/>
      <c r="CA64" s="1487"/>
      <c r="CB64" s="1487"/>
      <c r="CC64" s="1540"/>
      <c r="CD64" s="1520"/>
      <c r="CE64" s="1487"/>
      <c r="CF64" s="1487"/>
      <c r="CG64" s="1540"/>
      <c r="CH64" s="1520"/>
      <c r="CI64" s="1487"/>
      <c r="CJ64" s="1487"/>
      <c r="CK64" s="1540"/>
      <c r="CL64" s="1520"/>
      <c r="CM64" s="1487"/>
      <c r="CN64" s="1487"/>
      <c r="CO64" s="1540"/>
      <c r="CP64" s="1520"/>
      <c r="CQ64" s="1487"/>
      <c r="CR64" s="1487"/>
      <c r="CS64" s="1540"/>
    </row>
    <row r="65" spans="1:97" ht="16.5">
      <c r="A65" s="1486" t="s">
        <v>506</v>
      </c>
      <c r="B65" s="1543"/>
      <c r="C65" s="1487"/>
      <c r="D65" s="1544"/>
      <c r="E65" s="1540"/>
      <c r="F65" s="1522"/>
      <c r="G65" s="1487"/>
      <c r="H65" s="1487"/>
      <c r="I65" s="1540"/>
      <c r="J65" s="1520"/>
      <c r="K65" s="1487"/>
      <c r="L65" s="1487"/>
      <c r="M65" s="1540"/>
      <c r="N65" s="1520"/>
      <c r="O65" s="1487"/>
      <c r="P65" s="1487"/>
      <c r="Q65" s="1521"/>
      <c r="R65" s="1522"/>
      <c r="S65" s="1487"/>
      <c r="T65" s="1487"/>
      <c r="U65" s="1540"/>
      <c r="V65" s="1520"/>
      <c r="W65" s="1487"/>
      <c r="X65" s="1487"/>
      <c r="Y65" s="1540"/>
      <c r="Z65" s="1520"/>
      <c r="AA65" s="1487"/>
      <c r="AB65" s="1487"/>
      <c r="AC65" s="1540"/>
      <c r="AD65" s="1520"/>
      <c r="AE65" s="1487"/>
      <c r="AF65" s="1487"/>
      <c r="AG65" s="1540"/>
      <c r="AH65" s="1520"/>
      <c r="AI65" s="1487"/>
      <c r="AJ65" s="1487"/>
      <c r="AK65" s="1540"/>
      <c r="AL65" s="1520"/>
      <c r="AM65" s="1487"/>
      <c r="AN65" s="1487"/>
      <c r="AO65" s="1540"/>
      <c r="AP65" s="1520"/>
      <c r="AQ65" s="1487"/>
      <c r="AR65" s="1487"/>
      <c r="AS65" s="1540"/>
      <c r="AT65" s="1520"/>
      <c r="AU65" s="1487"/>
      <c r="AV65" s="1487"/>
      <c r="AW65" s="1540"/>
      <c r="AX65" s="1520"/>
      <c r="AY65" s="1487"/>
      <c r="AZ65" s="1487"/>
      <c r="BA65" s="1540"/>
      <c r="BB65" s="1520"/>
      <c r="BC65" s="1487"/>
      <c r="BD65" s="1487"/>
      <c r="BE65" s="1540"/>
      <c r="BF65" s="1520">
        <v>1.97</v>
      </c>
      <c r="BG65" s="1487"/>
      <c r="BH65" s="1487"/>
      <c r="BI65" s="1540">
        <v>2.8</v>
      </c>
      <c r="BJ65" s="1520"/>
      <c r="BK65" s="1487"/>
      <c r="BL65" s="1487"/>
      <c r="BM65" s="1540"/>
      <c r="BN65" s="1520"/>
      <c r="BO65" s="1487"/>
      <c r="BP65" s="1487"/>
      <c r="BQ65" s="1540"/>
      <c r="BR65" s="1520"/>
      <c r="BS65" s="1487"/>
      <c r="BT65" s="1487"/>
      <c r="BU65" s="1540"/>
      <c r="BV65" s="1520"/>
      <c r="BW65" s="1487"/>
      <c r="BX65" s="1487"/>
      <c r="BY65" s="1540"/>
      <c r="BZ65" s="1520"/>
      <c r="CA65" s="1487"/>
      <c r="CB65" s="1487"/>
      <c r="CC65" s="1540"/>
      <c r="CD65" s="1520"/>
      <c r="CE65" s="1487"/>
      <c r="CF65" s="1487"/>
      <c r="CG65" s="1540"/>
      <c r="CH65" s="1520"/>
      <c r="CI65" s="1487"/>
      <c r="CJ65" s="1487"/>
      <c r="CK65" s="1540"/>
      <c r="CL65" s="1520"/>
      <c r="CM65" s="1487"/>
      <c r="CN65" s="1487"/>
      <c r="CO65" s="1540"/>
      <c r="CP65" s="1520"/>
      <c r="CQ65" s="1487"/>
      <c r="CR65" s="1487"/>
      <c r="CS65" s="1540"/>
    </row>
    <row r="66" spans="1:97" ht="16.5">
      <c r="A66" s="1486" t="s">
        <v>507</v>
      </c>
      <c r="B66" s="1543"/>
      <c r="C66" s="1487"/>
      <c r="D66" s="1544"/>
      <c r="E66" s="1540"/>
      <c r="F66" s="1522"/>
      <c r="G66" s="1487"/>
      <c r="H66" s="1487"/>
      <c r="I66" s="1540"/>
      <c r="J66" s="1520"/>
      <c r="K66" s="1487"/>
      <c r="L66" s="1487"/>
      <c r="M66" s="1540"/>
      <c r="N66" s="1520"/>
      <c r="O66" s="1487"/>
      <c r="P66" s="1487"/>
      <c r="Q66" s="1521"/>
      <c r="R66" s="1522"/>
      <c r="S66" s="1487"/>
      <c r="T66" s="1487"/>
      <c r="U66" s="1540"/>
      <c r="V66" s="1520"/>
      <c r="W66" s="1487"/>
      <c r="X66" s="1487"/>
      <c r="Y66" s="1540"/>
      <c r="Z66" s="1520"/>
      <c r="AA66" s="1487"/>
      <c r="AB66" s="1487"/>
      <c r="AC66" s="1540"/>
      <c r="AD66" s="1520"/>
      <c r="AE66" s="1487"/>
      <c r="AF66" s="1487"/>
      <c r="AG66" s="1540"/>
      <c r="AH66" s="1520"/>
      <c r="AI66" s="1487"/>
      <c r="AJ66" s="1487"/>
      <c r="AK66" s="1540"/>
      <c r="AL66" s="1520"/>
      <c r="AM66" s="1487"/>
      <c r="AN66" s="1487"/>
      <c r="AO66" s="1540"/>
      <c r="AP66" s="1520"/>
      <c r="AQ66" s="1487"/>
      <c r="AR66" s="1487"/>
      <c r="AS66" s="1540"/>
      <c r="AT66" s="1520"/>
      <c r="AU66" s="1487"/>
      <c r="AV66" s="1487"/>
      <c r="AW66" s="1540"/>
      <c r="AX66" s="1520"/>
      <c r="AY66" s="1487"/>
      <c r="AZ66" s="1487"/>
      <c r="BA66" s="1540"/>
      <c r="BB66" s="1520"/>
      <c r="BC66" s="1487"/>
      <c r="BD66" s="1487"/>
      <c r="BE66" s="1540"/>
      <c r="BF66" s="1520">
        <v>4.59</v>
      </c>
      <c r="BG66" s="1487"/>
      <c r="BH66" s="1487">
        <v>1</v>
      </c>
      <c r="BI66" s="1540">
        <v>7.5</v>
      </c>
      <c r="BJ66" s="1520"/>
      <c r="BK66" s="1487"/>
      <c r="BL66" s="1487"/>
      <c r="BM66" s="1540"/>
      <c r="BN66" s="1520"/>
      <c r="BO66" s="1487"/>
      <c r="BP66" s="1487"/>
      <c r="BQ66" s="1540"/>
      <c r="BR66" s="1520"/>
      <c r="BS66" s="1487"/>
      <c r="BT66" s="1487"/>
      <c r="BU66" s="1540"/>
      <c r="BV66" s="1520"/>
      <c r="BW66" s="1487"/>
      <c r="BX66" s="1487"/>
      <c r="BY66" s="1540"/>
      <c r="BZ66" s="1520"/>
      <c r="CA66" s="1487"/>
      <c r="CB66" s="1487"/>
      <c r="CC66" s="1540"/>
      <c r="CD66" s="1520"/>
      <c r="CE66" s="1487"/>
      <c r="CF66" s="1487"/>
      <c r="CG66" s="1540"/>
      <c r="CH66" s="1520"/>
      <c r="CI66" s="1487"/>
      <c r="CJ66" s="1487"/>
      <c r="CK66" s="1540"/>
      <c r="CL66" s="1520"/>
      <c r="CM66" s="1487"/>
      <c r="CN66" s="1487"/>
      <c r="CO66" s="1540"/>
      <c r="CP66" s="1520"/>
      <c r="CQ66" s="1487"/>
      <c r="CR66" s="1487"/>
      <c r="CS66" s="1540"/>
    </row>
    <row r="67" spans="1:97" ht="17.25" thickBot="1">
      <c r="A67" s="1492" t="s">
        <v>508</v>
      </c>
      <c r="B67" s="1548"/>
      <c r="C67" s="1524"/>
      <c r="D67" s="1549"/>
      <c r="E67" s="1550"/>
      <c r="F67" s="1551"/>
      <c r="G67" s="1552"/>
      <c r="H67" s="1524"/>
      <c r="I67" s="1553"/>
      <c r="J67" s="1554"/>
      <c r="K67" s="1524"/>
      <c r="L67" s="1524"/>
      <c r="M67" s="1550"/>
      <c r="N67" s="1523"/>
      <c r="O67" s="1524"/>
      <c r="P67" s="1524"/>
      <c r="Q67" s="1525"/>
      <c r="R67" s="1555"/>
      <c r="S67" s="1524"/>
      <c r="T67" s="1524"/>
      <c r="U67" s="1550"/>
      <c r="V67" s="1523"/>
      <c r="W67" s="1524"/>
      <c r="X67" s="1524"/>
      <c r="Y67" s="1550"/>
      <c r="Z67" s="1523"/>
      <c r="AA67" s="1524"/>
      <c r="AB67" s="1524"/>
      <c r="AC67" s="1550"/>
      <c r="AD67" s="1523"/>
      <c r="AE67" s="1524"/>
      <c r="AF67" s="1524"/>
      <c r="AG67" s="1550"/>
      <c r="AH67" s="1523"/>
      <c r="AI67" s="1524"/>
      <c r="AJ67" s="1524"/>
      <c r="AK67" s="1550"/>
      <c r="AL67" s="1523"/>
      <c r="AM67" s="1524"/>
      <c r="AN67" s="1524"/>
      <c r="AO67" s="1550"/>
      <c r="AP67" s="1523"/>
      <c r="AQ67" s="1524"/>
      <c r="AR67" s="1524"/>
      <c r="AS67" s="1550"/>
      <c r="AT67" s="1523"/>
      <c r="AU67" s="1524"/>
      <c r="AV67" s="1524"/>
      <c r="AW67" s="1550"/>
      <c r="AX67" s="1523"/>
      <c r="AY67" s="1524"/>
      <c r="AZ67" s="1524"/>
      <c r="BA67" s="1550"/>
      <c r="BB67" s="1523"/>
      <c r="BC67" s="1524"/>
      <c r="BD67" s="1524"/>
      <c r="BE67" s="1550"/>
      <c r="BF67" s="1523">
        <v>55272</v>
      </c>
      <c r="BG67" s="1524">
        <v>13</v>
      </c>
      <c r="BH67" s="1524">
        <v>15172</v>
      </c>
      <c r="BI67" s="1550">
        <v>53099.14</v>
      </c>
      <c r="BJ67" s="1523"/>
      <c r="BK67" s="1524"/>
      <c r="BL67" s="1524"/>
      <c r="BM67" s="1550"/>
      <c r="BN67" s="1523"/>
      <c r="BO67" s="1524"/>
      <c r="BP67" s="1524"/>
      <c r="BQ67" s="1550"/>
      <c r="BR67" s="1523"/>
      <c r="BS67" s="1524"/>
      <c r="BT67" s="1524"/>
      <c r="BU67" s="1550"/>
      <c r="BV67" s="1523"/>
      <c r="BW67" s="1524"/>
      <c r="BX67" s="1524"/>
      <c r="BY67" s="1550"/>
      <c r="BZ67" s="1523"/>
      <c r="CA67" s="1524"/>
      <c r="CB67" s="1524"/>
      <c r="CC67" s="1550"/>
      <c r="CD67" s="1523"/>
      <c r="CE67" s="1524"/>
      <c r="CF67" s="1524"/>
      <c r="CG67" s="1550"/>
      <c r="CH67" s="1523"/>
      <c r="CI67" s="1524"/>
      <c r="CJ67" s="1524"/>
      <c r="CK67" s="1550"/>
      <c r="CL67" s="1523"/>
      <c r="CM67" s="1524"/>
      <c r="CN67" s="1524"/>
      <c r="CO67" s="1550"/>
      <c r="CP67" s="1523"/>
      <c r="CQ67" s="1524"/>
      <c r="CR67" s="1524"/>
      <c r="CS67" s="1550"/>
    </row>
    <row r="68" spans="3:10" ht="16.5">
      <c r="C68" s="1556"/>
      <c r="E68" s="1556"/>
      <c r="F68" s="1556"/>
      <c r="G68" s="1556"/>
      <c r="I68" s="1556"/>
      <c r="J68" s="1556"/>
    </row>
    <row r="69" spans="3:10" ht="16.5">
      <c r="C69" s="1556"/>
      <c r="E69" s="1556"/>
      <c r="F69" s="1556"/>
      <c r="G69" s="1556"/>
      <c r="I69" s="1556"/>
      <c r="J69" s="1556"/>
    </row>
    <row r="70" spans="3:10" ht="16.5">
      <c r="C70" s="1557"/>
      <c r="E70" s="1557"/>
      <c r="F70" s="1556"/>
      <c r="G70" s="1556"/>
      <c r="I70" s="1556"/>
      <c r="J70" s="1556"/>
    </row>
    <row r="71" spans="3:10" ht="16.5">
      <c r="C71" s="1556"/>
      <c r="E71" s="1557"/>
      <c r="F71" s="1556"/>
      <c r="G71" s="1556"/>
      <c r="I71" s="1556"/>
      <c r="J71" s="1556"/>
    </row>
    <row r="72" spans="3:10" ht="16.5">
      <c r="C72" s="1557"/>
      <c r="E72" s="1557"/>
      <c r="F72" s="1557"/>
      <c r="H72" s="1557"/>
      <c r="I72" s="1557"/>
      <c r="J72" s="1557"/>
    </row>
    <row r="73" spans="3:10" ht="16.5">
      <c r="C73" s="1556"/>
      <c r="E73" s="1557"/>
      <c r="F73" s="1556"/>
      <c r="G73" s="1556"/>
      <c r="I73" s="1556"/>
      <c r="J73" s="1556"/>
    </row>
    <row r="75" spans="3:10" ht="16.5">
      <c r="C75" s="1556"/>
      <c r="E75" s="1556"/>
      <c r="G75" s="1556"/>
      <c r="I75" s="1556"/>
      <c r="J75" s="1557"/>
    </row>
    <row r="76" spans="3:10" ht="16.5">
      <c r="C76" s="1557"/>
      <c r="E76" s="1557"/>
      <c r="G76" s="1556"/>
      <c r="I76" s="1556"/>
      <c r="J76" s="1557"/>
    </row>
    <row r="78" spans="3:10" ht="16.5">
      <c r="C78" s="1556"/>
      <c r="E78" s="1557"/>
      <c r="F78" s="1557"/>
      <c r="H78" s="1557"/>
      <c r="I78" s="1557"/>
      <c r="J78" s="1557"/>
    </row>
    <row r="79" spans="3:10" ht="16.5">
      <c r="C79" s="1557"/>
      <c r="E79" s="1557"/>
      <c r="F79" s="1557"/>
      <c r="H79" s="1557"/>
      <c r="I79" s="1557"/>
      <c r="J79" s="1557"/>
    </row>
    <row r="80" spans="3:10" ht="16.5">
      <c r="C80" s="1557"/>
      <c r="E80" s="1557"/>
      <c r="F80" s="1557"/>
      <c r="H80" s="1557"/>
      <c r="I80" s="1557"/>
      <c r="J80" s="1557"/>
    </row>
    <row r="81" spans="3:10" ht="16.5">
      <c r="C81" s="1557"/>
      <c r="E81" s="1557"/>
      <c r="F81" s="1557"/>
      <c r="H81" s="1557"/>
      <c r="I81" s="1557"/>
      <c r="J81" s="1557"/>
    </row>
    <row r="82" spans="3:10" ht="16.5">
      <c r="C82" s="1557"/>
      <c r="E82" s="1557"/>
      <c r="F82" s="1557"/>
      <c r="H82" s="1557"/>
      <c r="I82" s="1557"/>
      <c r="J82" s="1557"/>
    </row>
    <row r="85" spans="3:10" ht="16.5">
      <c r="C85" s="1557"/>
      <c r="E85" s="1557"/>
      <c r="F85" s="1557"/>
      <c r="H85" s="1557"/>
      <c r="I85" s="1557"/>
      <c r="J85" s="1556"/>
    </row>
    <row r="86" spans="3:10" ht="16.5">
      <c r="C86" s="1557"/>
      <c r="E86" s="1556"/>
      <c r="F86" s="1557"/>
      <c r="H86" s="1557"/>
      <c r="I86" s="1557"/>
      <c r="J86" s="1557"/>
    </row>
    <row r="87" spans="3:10" ht="16.5">
      <c r="C87" s="1557"/>
      <c r="E87" s="1556"/>
      <c r="F87" s="1556"/>
      <c r="H87" s="1557"/>
      <c r="I87" s="1556"/>
      <c r="J87" s="1556"/>
    </row>
    <row r="88" spans="3:10" ht="16.5">
      <c r="C88" s="1557"/>
      <c r="E88" s="1557"/>
      <c r="F88" s="1556"/>
      <c r="H88" s="1557"/>
      <c r="I88" s="1556"/>
      <c r="J88" s="1556"/>
    </row>
    <row r="89" spans="3:10" ht="16.5">
      <c r="C89" s="1557"/>
      <c r="E89" s="1557"/>
      <c r="F89" s="1557"/>
      <c r="H89" s="1557"/>
      <c r="I89" s="1557"/>
      <c r="J89" s="1557"/>
    </row>
    <row r="90" spans="3:10" ht="16.5">
      <c r="C90" s="1557"/>
      <c r="E90" s="1557"/>
      <c r="F90" s="1557"/>
      <c r="H90" s="1557"/>
      <c r="I90" s="1557"/>
      <c r="J90" s="1557"/>
    </row>
    <row r="91" spans="3:10" ht="16.5">
      <c r="C91" s="1557"/>
      <c r="E91" s="1557"/>
      <c r="F91" s="1556"/>
      <c r="H91" s="1557"/>
      <c r="I91" s="1556"/>
      <c r="J91" s="1556"/>
    </row>
    <row r="93" spans="3:10" ht="16.5">
      <c r="C93" s="1557"/>
      <c r="E93" s="1557"/>
      <c r="F93" s="1557"/>
      <c r="H93" s="1557"/>
      <c r="I93" s="1557"/>
      <c r="J93" s="1557"/>
    </row>
    <row r="94" spans="3:10" ht="16.5">
      <c r="C94" s="1557"/>
      <c r="E94" s="1557"/>
      <c r="F94" s="1557"/>
      <c r="H94" s="1557"/>
      <c r="I94" s="1557"/>
      <c r="J94" s="1557"/>
    </row>
    <row r="95" spans="3:10" ht="16.5">
      <c r="C95" s="1557"/>
      <c r="E95" s="1557"/>
      <c r="F95" s="1557"/>
      <c r="H95" s="1557"/>
      <c r="I95" s="1557"/>
      <c r="J95" s="1557"/>
    </row>
    <row r="96" spans="3:10" ht="16.5">
      <c r="C96" s="1557"/>
      <c r="E96" s="1557"/>
      <c r="F96" s="1557"/>
      <c r="H96" s="1557"/>
      <c r="I96" s="1557"/>
      <c r="J96" s="1557"/>
    </row>
    <row r="97" spans="3:10" ht="16.5">
      <c r="C97" s="1557"/>
      <c r="E97" s="1557"/>
      <c r="F97" s="1557"/>
      <c r="H97" s="1557"/>
      <c r="I97" s="1557"/>
      <c r="J97" s="1557"/>
    </row>
    <row r="98" spans="3:10" ht="16.5">
      <c r="C98" s="1557"/>
      <c r="E98" s="1557"/>
      <c r="F98" s="1557"/>
      <c r="H98" s="1557"/>
      <c r="I98" s="1557"/>
      <c r="J98" s="1557"/>
    </row>
    <row r="99" spans="3:10" ht="16.5">
      <c r="C99" s="1557"/>
      <c r="E99" s="1557"/>
      <c r="F99" s="1557"/>
      <c r="H99" s="1557"/>
      <c r="I99" s="1557"/>
      <c r="J99" s="1557"/>
    </row>
    <row r="102" spans="3:10" ht="16.5">
      <c r="C102" s="1558"/>
      <c r="E102" s="1558"/>
      <c r="G102" s="1558"/>
      <c r="I102" s="1558"/>
      <c r="J102" s="1558"/>
    </row>
    <row r="103" spans="3:10" ht="16.5">
      <c r="C103" s="1556"/>
      <c r="E103" s="1556"/>
      <c r="G103" s="1558"/>
      <c r="I103" s="1558"/>
      <c r="J103" s="1558"/>
    </row>
    <row r="104" spans="3:10" ht="16.5">
      <c r="C104" s="1558"/>
      <c r="E104" s="1558"/>
      <c r="G104" s="1558"/>
      <c r="I104" s="1558"/>
      <c r="J104" s="1558"/>
    </row>
    <row r="105" spans="3:10" ht="16.5">
      <c r="C105" s="1556"/>
      <c r="E105" s="1556"/>
      <c r="G105" s="1558"/>
      <c r="I105" s="1558"/>
      <c r="J105" s="1558"/>
    </row>
    <row r="106" spans="3:10" ht="16.5">
      <c r="C106" s="1556"/>
      <c r="E106" s="1556"/>
      <c r="G106" s="1558"/>
      <c r="I106" s="1558"/>
      <c r="J106" s="1558"/>
    </row>
    <row r="107" spans="3:10" ht="16.5">
      <c r="C107" s="1556"/>
      <c r="E107" s="1556"/>
      <c r="F107" s="1556"/>
      <c r="G107" s="1556"/>
      <c r="I107" s="1556"/>
      <c r="J107" s="1558"/>
    </row>
    <row r="108" spans="3:10" ht="16.5">
      <c r="C108" s="1556"/>
      <c r="E108" s="1556"/>
      <c r="G108" s="1558"/>
      <c r="I108" s="1558"/>
      <c r="J108" s="1558"/>
    </row>
    <row r="111" spans="3:10" ht="16.5">
      <c r="C111" s="1557"/>
      <c r="E111" s="1557"/>
      <c r="F111" s="1557"/>
      <c r="H111" s="1557"/>
      <c r="I111" s="1557"/>
      <c r="J111" s="1557"/>
    </row>
    <row r="112" spans="3:10" ht="16.5">
      <c r="C112" s="1557"/>
      <c r="E112" s="1557"/>
      <c r="F112" s="1557"/>
      <c r="H112" s="1557"/>
      <c r="I112" s="1557"/>
      <c r="J112" s="1557"/>
    </row>
    <row r="113" spans="3:10" ht="16.5">
      <c r="C113" s="1557"/>
      <c r="E113" s="1557"/>
      <c r="F113" s="1557"/>
      <c r="H113" s="1557"/>
      <c r="I113" s="1557"/>
      <c r="J113" s="1557"/>
    </row>
    <row r="114" spans="3:10" ht="16.5">
      <c r="C114" s="1557"/>
      <c r="E114" s="1557"/>
      <c r="F114" s="1557"/>
      <c r="H114" s="1557"/>
      <c r="I114" s="1557"/>
      <c r="J114" s="1557"/>
    </row>
    <row r="115" spans="3:10" ht="16.5">
      <c r="C115" s="1557"/>
      <c r="E115" s="1557"/>
      <c r="F115" s="1557"/>
      <c r="H115" s="1557"/>
      <c r="I115" s="1557"/>
      <c r="J115" s="1557"/>
    </row>
    <row r="116" spans="3:10" ht="16.5">
      <c r="C116" s="1557"/>
      <c r="E116" s="1557"/>
      <c r="F116" s="1557"/>
      <c r="H116" s="1557"/>
      <c r="I116" s="1557"/>
      <c r="J116" s="1557"/>
    </row>
    <row r="117" spans="3:10" ht="16.5">
      <c r="C117" s="1557"/>
      <c r="E117" s="1557"/>
      <c r="F117" s="1557"/>
      <c r="H117" s="1557"/>
      <c r="I117" s="1557"/>
      <c r="J117" s="1557"/>
    </row>
    <row r="120" spans="2:10" ht="16.5">
      <c r="B120" s="1556"/>
      <c r="C120" s="1557"/>
      <c r="E120" s="1558"/>
      <c r="F120" s="1556"/>
      <c r="G120" s="1556"/>
      <c r="I120" s="1558"/>
      <c r="J120" s="1558"/>
    </row>
    <row r="121" spans="3:10" ht="16.5">
      <c r="C121" s="1557"/>
      <c r="E121" s="1558"/>
      <c r="G121" s="1556"/>
      <c r="I121" s="1558"/>
      <c r="J121" s="1558"/>
    </row>
    <row r="122" spans="3:10" ht="16.5">
      <c r="C122" s="1557"/>
      <c r="E122" s="1556"/>
      <c r="G122" s="1556"/>
      <c r="I122" s="1558"/>
      <c r="J122" s="1558"/>
    </row>
    <row r="123" spans="3:10" ht="16.5">
      <c r="C123" s="1557"/>
      <c r="E123" s="1556"/>
      <c r="F123" s="1556"/>
      <c r="G123" s="1556"/>
      <c r="I123" s="1558"/>
      <c r="J123" s="1558"/>
    </row>
    <row r="124" spans="3:10" ht="16.5">
      <c r="C124" s="1557"/>
      <c r="E124" s="1558"/>
      <c r="F124" s="1556"/>
      <c r="G124" s="1556"/>
      <c r="I124" s="1558"/>
      <c r="J124" s="1558"/>
    </row>
    <row r="125" spans="3:10" ht="16.5">
      <c r="C125" s="1557"/>
      <c r="E125" s="1556"/>
      <c r="F125" s="1556"/>
      <c r="G125" s="1556"/>
      <c r="I125" s="1558"/>
      <c r="J125" s="1558"/>
    </row>
    <row r="126" spans="3:10" ht="16.5">
      <c r="C126" s="1556"/>
      <c r="E126" s="1558"/>
      <c r="G126" s="1556"/>
      <c r="I126" s="1558"/>
      <c r="J126" s="1558"/>
    </row>
    <row r="128" spans="3:10" ht="16.5">
      <c r="C128" s="1557"/>
      <c r="E128" s="1557"/>
      <c r="F128" s="1557"/>
      <c r="H128" s="1557"/>
      <c r="I128" s="1557"/>
      <c r="J128" s="1557"/>
    </row>
    <row r="129" spans="3:10" ht="16.5">
      <c r="C129" s="1557"/>
      <c r="E129" s="1557"/>
      <c r="F129" s="1557"/>
      <c r="H129" s="1557"/>
      <c r="I129" s="1557"/>
      <c r="J129" s="1557"/>
    </row>
    <row r="130" spans="3:10" ht="16.5">
      <c r="C130" s="1557"/>
      <c r="E130" s="1557"/>
      <c r="F130" s="1557"/>
      <c r="H130" s="1557"/>
      <c r="I130" s="1557"/>
      <c r="J130" s="1557"/>
    </row>
    <row r="131" spans="3:10" ht="16.5">
      <c r="C131" s="1557"/>
      <c r="E131" s="1557"/>
      <c r="F131" s="1557"/>
      <c r="H131" s="1557"/>
      <c r="I131" s="1557"/>
      <c r="J131" s="1557"/>
    </row>
    <row r="132" spans="3:10" ht="16.5">
      <c r="C132" s="1557"/>
      <c r="E132" s="1557"/>
      <c r="F132" s="1557"/>
      <c r="H132" s="1557"/>
      <c r="I132" s="1557"/>
      <c r="J132" s="1557"/>
    </row>
    <row r="133" spans="3:10" ht="16.5">
      <c r="C133" s="1557"/>
      <c r="E133" s="1557"/>
      <c r="F133" s="1557"/>
      <c r="H133" s="1557"/>
      <c r="I133" s="1557"/>
      <c r="J133" s="1557"/>
    </row>
    <row r="134" spans="3:10" ht="16.5">
      <c r="C134" s="1557"/>
      <c r="E134" s="1557"/>
      <c r="F134" s="1557"/>
      <c r="H134" s="1557"/>
      <c r="I134" s="1557"/>
      <c r="J134" s="1557"/>
    </row>
    <row r="138" spans="1:10" ht="16.5">
      <c r="A138" s="1484"/>
      <c r="J138" s="1559"/>
    </row>
    <row r="203" ht="16.5">
      <c r="A203" s="1484" t="s">
        <v>523</v>
      </c>
    </row>
  </sheetData>
  <sheetProtection/>
  <mergeCells count="24">
    <mergeCell ref="CD2:CG2"/>
    <mergeCell ref="CH2:CK2"/>
    <mergeCell ref="CL2:CO2"/>
    <mergeCell ref="CP2:CS2"/>
    <mergeCell ref="BJ2:BM2"/>
    <mergeCell ref="BN2:BQ2"/>
    <mergeCell ref="BR2:BU2"/>
    <mergeCell ref="BV2:BY2"/>
    <mergeCell ref="BZ2:CC2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4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4.421875" style="101" customWidth="1"/>
    <col min="2" max="53" width="12.421875" style="101" bestFit="1" customWidth="1"/>
    <col min="54" max="16384" width="9.140625" style="101" customWidth="1"/>
  </cols>
  <sheetData>
    <row r="1" spans="1:51" ht="13.5">
      <c r="A1" s="1800" t="s">
        <v>436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  <c r="U1" s="1800"/>
      <c r="V1" s="1800"/>
      <c r="W1" s="1800"/>
      <c r="X1" s="1800"/>
      <c r="Y1" s="1800"/>
      <c r="Z1" s="1800"/>
      <c r="AA1" s="1800"/>
      <c r="AB1" s="1800"/>
      <c r="AC1" s="1800"/>
      <c r="AD1" s="1800"/>
      <c r="AE1" s="1800"/>
      <c r="AF1" s="1800"/>
      <c r="AG1" s="1800"/>
      <c r="AH1" s="1800"/>
      <c r="AI1" s="1800"/>
      <c r="AJ1" s="1800"/>
      <c r="AK1" s="1800"/>
      <c r="AL1" s="1800"/>
      <c r="AM1" s="1800"/>
      <c r="AN1" s="1800"/>
      <c r="AO1" s="1800"/>
      <c r="AP1" s="1800"/>
      <c r="AQ1" s="1800"/>
      <c r="AR1" s="1800"/>
      <c r="AS1" s="1800"/>
      <c r="AT1" s="1800"/>
      <c r="AU1" s="1800"/>
      <c r="AV1" s="1800"/>
      <c r="AW1" s="1800"/>
      <c r="AX1" s="1800"/>
      <c r="AY1" s="1800"/>
    </row>
    <row r="2" spans="1:51" ht="14.25" thickBot="1">
      <c r="A2" s="1703" t="s">
        <v>182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1703"/>
      <c r="T2" s="1703"/>
      <c r="U2" s="1703"/>
      <c r="V2" s="1703"/>
      <c r="W2" s="1703"/>
      <c r="X2" s="1703"/>
      <c r="Y2" s="1703"/>
      <c r="Z2" s="1703"/>
      <c r="AA2" s="1703"/>
      <c r="AB2" s="1703"/>
      <c r="AC2" s="1703"/>
      <c r="AD2" s="1703"/>
      <c r="AE2" s="1703"/>
      <c r="AF2" s="1703"/>
      <c r="AG2" s="1703"/>
      <c r="AH2" s="1703"/>
      <c r="AI2" s="1703"/>
      <c r="AJ2" s="1703"/>
      <c r="AK2" s="1703"/>
      <c r="AL2" s="1703"/>
      <c r="AM2" s="1703"/>
      <c r="AN2" s="1703"/>
      <c r="AO2" s="1703"/>
      <c r="AP2" s="1703"/>
      <c r="AQ2" s="1703"/>
      <c r="AR2" s="1703"/>
      <c r="AS2" s="1703"/>
      <c r="AT2" s="1703"/>
      <c r="AU2" s="1703"/>
      <c r="AV2" s="1703"/>
      <c r="AW2" s="1703"/>
      <c r="AX2" s="1703"/>
      <c r="AY2" s="1703"/>
    </row>
    <row r="3" spans="1:53" s="1322" customFormat="1" ht="41.25" customHeight="1" thickBot="1">
      <c r="A3" s="1825" t="s">
        <v>0</v>
      </c>
      <c r="B3" s="1827" t="s">
        <v>184</v>
      </c>
      <c r="C3" s="1833"/>
      <c r="D3" s="1827" t="s">
        <v>185</v>
      </c>
      <c r="E3" s="1833"/>
      <c r="F3" s="1827" t="s">
        <v>186</v>
      </c>
      <c r="G3" s="1833"/>
      <c r="H3" s="1837" t="s">
        <v>187</v>
      </c>
      <c r="I3" s="1838"/>
      <c r="J3" s="1827" t="s">
        <v>188</v>
      </c>
      <c r="K3" s="1828"/>
      <c r="L3" s="1827" t="s">
        <v>189</v>
      </c>
      <c r="M3" s="1833"/>
      <c r="N3" s="1827" t="s">
        <v>527</v>
      </c>
      <c r="O3" s="1828"/>
      <c r="P3" s="1827" t="s">
        <v>190</v>
      </c>
      <c r="Q3" s="1833"/>
      <c r="R3" s="1827" t="s">
        <v>191</v>
      </c>
      <c r="S3" s="1833"/>
      <c r="T3" s="1827" t="s">
        <v>192</v>
      </c>
      <c r="U3" s="1828"/>
      <c r="V3" s="1827" t="s">
        <v>193</v>
      </c>
      <c r="W3" s="1833"/>
      <c r="X3" s="1827" t="s">
        <v>194</v>
      </c>
      <c r="Y3" s="1833"/>
      <c r="Z3" s="1827" t="s">
        <v>195</v>
      </c>
      <c r="AA3" s="1833"/>
      <c r="AB3" s="1827" t="s">
        <v>196</v>
      </c>
      <c r="AC3" s="1833"/>
      <c r="AD3" s="1834" t="s">
        <v>197</v>
      </c>
      <c r="AE3" s="1836"/>
      <c r="AF3" s="1827" t="s">
        <v>198</v>
      </c>
      <c r="AG3" s="1833"/>
      <c r="AH3" s="1827" t="s">
        <v>199</v>
      </c>
      <c r="AI3" s="1833"/>
      <c r="AJ3" s="1827" t="s">
        <v>200</v>
      </c>
      <c r="AK3" s="1833"/>
      <c r="AL3" s="1834" t="s">
        <v>201</v>
      </c>
      <c r="AM3" s="1835"/>
      <c r="AN3" s="1827" t="s">
        <v>202</v>
      </c>
      <c r="AO3" s="1833"/>
      <c r="AP3" s="1827" t="s">
        <v>203</v>
      </c>
      <c r="AQ3" s="1833"/>
      <c r="AR3" s="1827" t="s">
        <v>204</v>
      </c>
      <c r="AS3" s="1833"/>
      <c r="AT3" s="1827" t="s">
        <v>205</v>
      </c>
      <c r="AU3" s="1833"/>
      <c r="AV3" s="1827" t="s">
        <v>1</v>
      </c>
      <c r="AW3" s="1833"/>
      <c r="AX3" s="1831" t="s">
        <v>206</v>
      </c>
      <c r="AY3" s="1832"/>
      <c r="AZ3" s="1829" t="s">
        <v>2</v>
      </c>
      <c r="BA3" s="1830"/>
    </row>
    <row r="4" spans="1:53" s="664" customFormat="1" ht="15" thickBot="1">
      <c r="A4" s="1826"/>
      <c r="B4" s="662" t="s">
        <v>277</v>
      </c>
      <c r="C4" s="663" t="s">
        <v>446</v>
      </c>
      <c r="D4" s="662" t="s">
        <v>277</v>
      </c>
      <c r="E4" s="663" t="s">
        <v>446</v>
      </c>
      <c r="F4" s="662" t="s">
        <v>277</v>
      </c>
      <c r="G4" s="663" t="s">
        <v>446</v>
      </c>
      <c r="H4" s="662" t="s">
        <v>277</v>
      </c>
      <c r="I4" s="663" t="s">
        <v>446</v>
      </c>
      <c r="J4" s="662" t="s">
        <v>277</v>
      </c>
      <c r="K4" s="1494" t="s">
        <v>446</v>
      </c>
      <c r="L4" s="1495" t="s">
        <v>277</v>
      </c>
      <c r="M4" s="663" t="s">
        <v>446</v>
      </c>
      <c r="N4" s="662" t="s">
        <v>277</v>
      </c>
      <c r="O4" s="1494" t="s">
        <v>446</v>
      </c>
      <c r="P4" s="1495" t="s">
        <v>277</v>
      </c>
      <c r="Q4" s="663" t="s">
        <v>446</v>
      </c>
      <c r="R4" s="662" t="s">
        <v>277</v>
      </c>
      <c r="S4" s="663" t="s">
        <v>446</v>
      </c>
      <c r="T4" s="662" t="s">
        <v>277</v>
      </c>
      <c r="U4" s="1494" t="s">
        <v>446</v>
      </c>
      <c r="V4" s="1495" t="s">
        <v>277</v>
      </c>
      <c r="W4" s="663" t="s">
        <v>446</v>
      </c>
      <c r="X4" s="662" t="s">
        <v>277</v>
      </c>
      <c r="Y4" s="663" t="s">
        <v>446</v>
      </c>
      <c r="Z4" s="662" t="s">
        <v>277</v>
      </c>
      <c r="AA4" s="663" t="s">
        <v>446</v>
      </c>
      <c r="AB4" s="662" t="s">
        <v>277</v>
      </c>
      <c r="AC4" s="663" t="s">
        <v>446</v>
      </c>
      <c r="AD4" s="662" t="s">
        <v>277</v>
      </c>
      <c r="AE4" s="1494" t="s">
        <v>446</v>
      </c>
      <c r="AF4" s="1495" t="s">
        <v>277</v>
      </c>
      <c r="AG4" s="663" t="s">
        <v>446</v>
      </c>
      <c r="AH4" s="662" t="s">
        <v>277</v>
      </c>
      <c r="AI4" s="663" t="s">
        <v>446</v>
      </c>
      <c r="AJ4" s="662" t="s">
        <v>277</v>
      </c>
      <c r="AK4" s="663" t="s">
        <v>446</v>
      </c>
      <c r="AL4" s="662" t="s">
        <v>277</v>
      </c>
      <c r="AM4" s="663" t="s">
        <v>446</v>
      </c>
      <c r="AN4" s="1500" t="s">
        <v>277</v>
      </c>
      <c r="AO4" s="1501" t="s">
        <v>446</v>
      </c>
      <c r="AP4" s="662" t="s">
        <v>277</v>
      </c>
      <c r="AQ4" s="663" t="s">
        <v>446</v>
      </c>
      <c r="AR4" s="662" t="s">
        <v>277</v>
      </c>
      <c r="AS4" s="663" t="s">
        <v>446</v>
      </c>
      <c r="AT4" s="662" t="s">
        <v>277</v>
      </c>
      <c r="AU4" s="663" t="s">
        <v>446</v>
      </c>
      <c r="AV4" s="662" t="s">
        <v>277</v>
      </c>
      <c r="AW4" s="663" t="s">
        <v>446</v>
      </c>
      <c r="AX4" s="662" t="s">
        <v>277</v>
      </c>
      <c r="AY4" s="1494" t="s">
        <v>446</v>
      </c>
      <c r="AZ4" s="1495" t="s">
        <v>277</v>
      </c>
      <c r="BA4" s="663" t="s">
        <v>446</v>
      </c>
    </row>
    <row r="5" spans="1:53" s="105" customFormat="1" ht="15" customHeight="1">
      <c r="A5" s="112" t="s">
        <v>3</v>
      </c>
      <c r="B5" s="461">
        <v>52.2</v>
      </c>
      <c r="C5" s="462">
        <v>45.86</v>
      </c>
      <c r="D5" s="461"/>
      <c r="E5" s="467"/>
      <c r="F5" s="461">
        <v>0.25</v>
      </c>
      <c r="G5" s="462"/>
      <c r="H5" s="461">
        <v>5</v>
      </c>
      <c r="I5" s="462">
        <v>5</v>
      </c>
      <c r="J5" s="461"/>
      <c r="K5" s="467"/>
      <c r="L5" s="460"/>
      <c r="M5" s="462"/>
      <c r="N5" s="461"/>
      <c r="O5" s="467"/>
      <c r="P5" s="460">
        <v>2.16</v>
      </c>
      <c r="Q5" s="462">
        <v>0.34</v>
      </c>
      <c r="R5" s="461"/>
      <c r="S5" s="462"/>
      <c r="T5" s="461">
        <v>9.56</v>
      </c>
      <c r="U5" s="467">
        <v>0.9</v>
      </c>
      <c r="V5" s="460">
        <v>19.54</v>
      </c>
      <c r="W5" s="462">
        <v>126.67</v>
      </c>
      <c r="X5" s="461">
        <v>31</v>
      </c>
      <c r="Y5" s="462">
        <v>8</v>
      </c>
      <c r="Z5" s="461"/>
      <c r="AA5" s="462"/>
      <c r="AB5" s="584">
        <v>0</v>
      </c>
      <c r="AC5" s="585"/>
      <c r="AD5" s="461">
        <v>0.02</v>
      </c>
      <c r="AE5" s="467">
        <v>0.51</v>
      </c>
      <c r="AF5" s="460">
        <v>28.74</v>
      </c>
      <c r="AG5" s="462">
        <v>5.11</v>
      </c>
      <c r="AH5" s="461">
        <v>0.32</v>
      </c>
      <c r="AI5" s="462">
        <v>0.34</v>
      </c>
      <c r="AJ5" s="461"/>
      <c r="AK5" s="462"/>
      <c r="AL5" s="461"/>
      <c r="AM5" s="467"/>
      <c r="AN5" s="1502">
        <v>79</v>
      </c>
      <c r="AO5" s="1503">
        <v>68</v>
      </c>
      <c r="AP5" s="468"/>
      <c r="AQ5" s="462"/>
      <c r="AR5" s="461">
        <v>0.0083</v>
      </c>
      <c r="AS5" s="462">
        <v>0.0011</v>
      </c>
      <c r="AT5" s="461">
        <v>4.32</v>
      </c>
      <c r="AU5" s="462">
        <v>6.02</v>
      </c>
      <c r="AV5" s="457">
        <f aca="true" t="shared" si="0" ref="AV5:AV14">SUM(B5+D5+F5+H5+J5+L5+N5+P5+R5+T5+V5+X5+Z5+P5+AD5+AF5+AH5+AJ5+AL5+AN5+AP5+AR5+AT5)</f>
        <v>234.27829999999997</v>
      </c>
      <c r="AW5" s="1013">
        <f aca="true" t="shared" si="1" ref="AW5:AW14">SUM(C5+E5+G5+I5+K5+M5+O5+Q5+S5+U5+W5+Y5+AA5+Q5+AE5+AG5+AI5+AK5+AM5+AO5+AQ5+AS5+AU5)</f>
        <v>267.09110000000004</v>
      </c>
      <c r="AX5" s="461">
        <v>1992.21</v>
      </c>
      <c r="AY5" s="467"/>
      <c r="AZ5" s="457">
        <f aca="true" t="shared" si="2" ref="AZ5:AZ14">AV5+AX5</f>
        <v>2226.4883</v>
      </c>
      <c r="BA5" s="459">
        <f aca="true" t="shared" si="3" ref="BA5:BA14">AW5+AY5</f>
        <v>267.09110000000004</v>
      </c>
    </row>
    <row r="6" spans="1:53" s="105" customFormat="1" ht="13.5">
      <c r="A6" s="112" t="s">
        <v>4</v>
      </c>
      <c r="B6" s="46">
        <v>56.51</v>
      </c>
      <c r="C6" s="104">
        <v>13.56</v>
      </c>
      <c r="D6" s="8"/>
      <c r="E6" s="106"/>
      <c r="F6" s="8">
        <v>0.0004</v>
      </c>
      <c r="G6" s="9"/>
      <c r="H6" s="8">
        <v>430</v>
      </c>
      <c r="I6" s="9">
        <v>832</v>
      </c>
      <c r="J6" s="8">
        <v>0.37</v>
      </c>
      <c r="K6" s="106">
        <v>3</v>
      </c>
      <c r="L6" s="7">
        <v>96.63</v>
      </c>
      <c r="M6" s="9">
        <v>134.11</v>
      </c>
      <c r="N6" s="8">
        <v>0.49</v>
      </c>
      <c r="O6" s="106">
        <v>0.21</v>
      </c>
      <c r="P6" s="7"/>
      <c r="Q6" s="9">
        <v>6.11</v>
      </c>
      <c r="R6" s="8">
        <v>0.16</v>
      </c>
      <c r="S6" s="9">
        <v>0.18</v>
      </c>
      <c r="T6" s="8">
        <v>47</v>
      </c>
      <c r="U6" s="106">
        <v>72.91</v>
      </c>
      <c r="V6" s="7">
        <v>942.21</v>
      </c>
      <c r="W6" s="9">
        <v>1416.12</v>
      </c>
      <c r="X6" s="8">
        <v>326</v>
      </c>
      <c r="Y6" s="9">
        <v>780</v>
      </c>
      <c r="Z6" s="100">
        <v>123.52</v>
      </c>
      <c r="AA6" s="1018">
        <v>130.19</v>
      </c>
      <c r="AB6" s="582">
        <v>148.45</v>
      </c>
      <c r="AC6" s="583">
        <v>185.59</v>
      </c>
      <c r="AD6" s="8">
        <v>39.53</v>
      </c>
      <c r="AE6" s="106">
        <v>149.36</v>
      </c>
      <c r="AF6" s="7">
        <v>312.84</v>
      </c>
      <c r="AG6" s="9">
        <v>337.68</v>
      </c>
      <c r="AH6" s="8">
        <v>163.73</v>
      </c>
      <c r="AI6" s="9">
        <v>316.49</v>
      </c>
      <c r="AJ6" s="8"/>
      <c r="AK6" s="9"/>
      <c r="AL6" s="8"/>
      <c r="AM6" s="106"/>
      <c r="AN6" s="1504">
        <v>2159</v>
      </c>
      <c r="AO6" s="1505">
        <v>2412</v>
      </c>
      <c r="AP6" s="1499">
        <v>0.02</v>
      </c>
      <c r="AQ6" s="107">
        <v>0</v>
      </c>
      <c r="AR6" s="109">
        <v>67.08</v>
      </c>
      <c r="AS6" s="110">
        <v>125.49</v>
      </c>
      <c r="AT6" s="8">
        <v>0.01</v>
      </c>
      <c r="AU6" s="9">
        <v>0.03</v>
      </c>
      <c r="AV6" s="457">
        <f t="shared" si="0"/>
        <v>4765.100400000001</v>
      </c>
      <c r="AW6" s="1013">
        <f t="shared" si="1"/>
        <v>6735.549999999999</v>
      </c>
      <c r="AX6" s="109">
        <v>29.52</v>
      </c>
      <c r="AY6" s="1508"/>
      <c r="AZ6" s="1511">
        <f t="shared" si="2"/>
        <v>4794.620400000002</v>
      </c>
      <c r="BA6" s="104">
        <f t="shared" si="3"/>
        <v>6735.549999999999</v>
      </c>
    </row>
    <row r="7" spans="1:53" s="105" customFormat="1" ht="13.5">
      <c r="A7" s="112" t="s">
        <v>5</v>
      </c>
      <c r="B7" s="46">
        <v>28.76</v>
      </c>
      <c r="C7" s="104">
        <v>124.63</v>
      </c>
      <c r="D7" s="8"/>
      <c r="E7" s="106">
        <v>1.44</v>
      </c>
      <c r="F7" s="8"/>
      <c r="G7" s="9"/>
      <c r="H7" s="8">
        <v>490</v>
      </c>
      <c r="I7" s="9">
        <v>360</v>
      </c>
      <c r="J7" s="8">
        <v>0.68</v>
      </c>
      <c r="K7" s="106"/>
      <c r="L7" s="7">
        <v>10.23</v>
      </c>
      <c r="M7" s="9">
        <v>12.63</v>
      </c>
      <c r="N7" s="8">
        <v>368.93</v>
      </c>
      <c r="O7" s="106">
        <v>108.2</v>
      </c>
      <c r="P7" s="7"/>
      <c r="Q7" s="9"/>
      <c r="R7" s="8"/>
      <c r="S7" s="9"/>
      <c r="T7" s="8">
        <v>0.52</v>
      </c>
      <c r="U7" s="106">
        <v>0.25</v>
      </c>
      <c r="V7" s="7">
        <v>1179.19</v>
      </c>
      <c r="W7" s="9">
        <v>1325.62</v>
      </c>
      <c r="X7" s="8">
        <v>70</v>
      </c>
      <c r="Y7" s="9">
        <v>109</v>
      </c>
      <c r="Z7" s="100"/>
      <c r="AA7" s="1018"/>
      <c r="AB7" s="582">
        <v>0</v>
      </c>
      <c r="AC7" s="583"/>
      <c r="AD7" s="8">
        <v>91.01</v>
      </c>
      <c r="AE7" s="106">
        <v>150.72</v>
      </c>
      <c r="AF7" s="7"/>
      <c r="AG7" s="9"/>
      <c r="AH7" s="8">
        <v>0.01</v>
      </c>
      <c r="AI7" s="9">
        <v>0.01</v>
      </c>
      <c r="AJ7" s="8"/>
      <c r="AK7" s="9"/>
      <c r="AL7" s="8"/>
      <c r="AM7" s="106"/>
      <c r="AN7" s="1504">
        <v>7</v>
      </c>
      <c r="AO7" s="1505">
        <v>8</v>
      </c>
      <c r="AP7" s="1499">
        <v>137.6</v>
      </c>
      <c r="AQ7" s="107">
        <v>96.59</v>
      </c>
      <c r="AR7" s="109"/>
      <c r="AS7" s="110"/>
      <c r="AT7" s="8"/>
      <c r="AU7" s="9"/>
      <c r="AV7" s="457">
        <f t="shared" si="0"/>
        <v>2383.9300000000003</v>
      </c>
      <c r="AW7" s="1013">
        <f t="shared" si="1"/>
        <v>2297.09</v>
      </c>
      <c r="AX7" s="109">
        <v>2.51</v>
      </c>
      <c r="AY7" s="1508"/>
      <c r="AZ7" s="1511">
        <f t="shared" si="2"/>
        <v>2386.4400000000005</v>
      </c>
      <c r="BA7" s="104">
        <f t="shared" si="3"/>
        <v>2297.09</v>
      </c>
    </row>
    <row r="8" spans="1:53" s="105" customFormat="1" ht="13.5">
      <c r="A8" s="112" t="s">
        <v>6</v>
      </c>
      <c r="B8" s="46">
        <v>113</v>
      </c>
      <c r="C8" s="104">
        <v>90.97</v>
      </c>
      <c r="D8" s="8">
        <v>6.51</v>
      </c>
      <c r="E8" s="106">
        <v>11.4</v>
      </c>
      <c r="F8" s="8">
        <v>12.09</v>
      </c>
      <c r="G8" s="9"/>
      <c r="H8" s="8">
        <v>60</v>
      </c>
      <c r="I8" s="9">
        <v>71</v>
      </c>
      <c r="J8" s="8"/>
      <c r="K8" s="106"/>
      <c r="L8" s="7">
        <v>2.4</v>
      </c>
      <c r="M8" s="9">
        <v>0.2</v>
      </c>
      <c r="N8" s="8">
        <v>221.38</v>
      </c>
      <c r="O8" s="106">
        <v>33.86</v>
      </c>
      <c r="P8" s="7">
        <v>7.94</v>
      </c>
      <c r="Q8" s="9">
        <v>9.52</v>
      </c>
      <c r="R8" s="8">
        <v>53.28</v>
      </c>
      <c r="S8" s="9">
        <v>74.96</v>
      </c>
      <c r="T8" s="8">
        <v>14.1</v>
      </c>
      <c r="U8" s="106">
        <v>13.73</v>
      </c>
      <c r="V8" s="7">
        <v>193.83</v>
      </c>
      <c r="W8" s="9">
        <v>262.2</v>
      </c>
      <c r="X8" s="8">
        <v>136</v>
      </c>
      <c r="Y8" s="9">
        <v>236</v>
      </c>
      <c r="Z8" s="100"/>
      <c r="AA8" s="1018"/>
      <c r="AB8" s="582">
        <v>23.43</v>
      </c>
      <c r="AC8" s="583">
        <v>27.58</v>
      </c>
      <c r="AD8" s="8">
        <v>163.36</v>
      </c>
      <c r="AE8" s="106">
        <v>116.59</v>
      </c>
      <c r="AF8" s="7">
        <v>29.27</v>
      </c>
      <c r="AG8" s="9">
        <v>42.09</v>
      </c>
      <c r="AH8" s="8">
        <v>35.16</v>
      </c>
      <c r="AI8" s="9">
        <v>110.92</v>
      </c>
      <c r="AJ8" s="8">
        <v>0.23</v>
      </c>
      <c r="AK8" s="9">
        <v>0.13</v>
      </c>
      <c r="AL8" s="8"/>
      <c r="AM8" s="106"/>
      <c r="AN8" s="1504">
        <v>32</v>
      </c>
      <c r="AO8" s="1505">
        <v>42</v>
      </c>
      <c r="AP8" s="1499">
        <v>5.5</v>
      </c>
      <c r="AQ8" s="107">
        <v>2.69</v>
      </c>
      <c r="AR8" s="109">
        <v>0.43</v>
      </c>
      <c r="AS8" s="110">
        <v>0.34</v>
      </c>
      <c r="AT8" s="8">
        <v>22.35</v>
      </c>
      <c r="AU8" s="9">
        <v>31.3</v>
      </c>
      <c r="AV8" s="457">
        <f t="shared" si="0"/>
        <v>1116.7700000000002</v>
      </c>
      <c r="AW8" s="1013">
        <f t="shared" si="1"/>
        <v>1159.42</v>
      </c>
      <c r="AX8" s="109">
        <v>16.3</v>
      </c>
      <c r="AY8" s="1508"/>
      <c r="AZ8" s="1511">
        <f t="shared" si="2"/>
        <v>1133.0700000000002</v>
      </c>
      <c r="BA8" s="104">
        <f t="shared" si="3"/>
        <v>1159.42</v>
      </c>
    </row>
    <row r="9" spans="1:53" s="105" customFormat="1" ht="13.5">
      <c r="A9" s="112" t="s">
        <v>7</v>
      </c>
      <c r="B9" s="46"/>
      <c r="C9" s="104"/>
      <c r="D9" s="8"/>
      <c r="E9" s="106"/>
      <c r="F9" s="8"/>
      <c r="G9" s="9"/>
      <c r="H9" s="8">
        <v>28</v>
      </c>
      <c r="I9" s="9">
        <v>100</v>
      </c>
      <c r="J9" s="8"/>
      <c r="K9" s="106"/>
      <c r="L9" s="7"/>
      <c r="M9" s="9"/>
      <c r="N9" s="8">
        <v>18.8</v>
      </c>
      <c r="O9" s="106">
        <v>19.18</v>
      </c>
      <c r="P9" s="7"/>
      <c r="Q9" s="9"/>
      <c r="R9" s="8"/>
      <c r="S9" s="9"/>
      <c r="T9" s="8"/>
      <c r="U9" s="106"/>
      <c r="V9" s="7">
        <v>4.29</v>
      </c>
      <c r="W9" s="9">
        <v>5.42</v>
      </c>
      <c r="X9" s="8"/>
      <c r="Y9" s="9"/>
      <c r="Z9" s="100"/>
      <c r="AA9" s="1018"/>
      <c r="AB9" s="582">
        <v>0</v>
      </c>
      <c r="AC9" s="583"/>
      <c r="AD9" s="8">
        <v>75.68</v>
      </c>
      <c r="AE9" s="106">
        <v>112.01</v>
      </c>
      <c r="AF9" s="7"/>
      <c r="AG9" s="9"/>
      <c r="AH9" s="8"/>
      <c r="AI9" s="9"/>
      <c r="AJ9" s="8"/>
      <c r="AK9" s="9"/>
      <c r="AL9" s="8"/>
      <c r="AM9" s="106"/>
      <c r="AN9" s="1506"/>
      <c r="AO9" s="1507"/>
      <c r="AP9" s="1499"/>
      <c r="AQ9" s="107"/>
      <c r="AR9" s="109"/>
      <c r="AS9" s="110"/>
      <c r="AT9" s="8"/>
      <c r="AU9" s="9"/>
      <c r="AV9" s="457">
        <f t="shared" si="0"/>
        <v>126.77000000000001</v>
      </c>
      <c r="AW9" s="1013">
        <f t="shared" si="1"/>
        <v>236.61</v>
      </c>
      <c r="AX9" s="109"/>
      <c r="AY9" s="1508"/>
      <c r="AZ9" s="1511">
        <f t="shared" si="2"/>
        <v>126.77000000000001</v>
      </c>
      <c r="BA9" s="104">
        <f t="shared" si="3"/>
        <v>236.61</v>
      </c>
    </row>
    <row r="10" spans="1:53" s="105" customFormat="1" ht="13.5">
      <c r="A10" s="112" t="s">
        <v>8</v>
      </c>
      <c r="B10" s="46">
        <v>1868.42</v>
      </c>
      <c r="C10" s="104">
        <v>1578.63</v>
      </c>
      <c r="D10" s="8">
        <v>8.6</v>
      </c>
      <c r="E10" s="106">
        <v>5.7</v>
      </c>
      <c r="F10" s="8">
        <v>96.64</v>
      </c>
      <c r="G10" s="9"/>
      <c r="H10" s="8">
        <v>2108</v>
      </c>
      <c r="I10" s="9">
        <v>1812</v>
      </c>
      <c r="J10" s="8">
        <v>265.5</v>
      </c>
      <c r="K10" s="106">
        <v>190</v>
      </c>
      <c r="L10" s="7">
        <v>384.2</v>
      </c>
      <c r="M10" s="9">
        <v>288.08</v>
      </c>
      <c r="N10" s="8">
        <v>295.49</v>
      </c>
      <c r="O10" s="106">
        <v>187.51</v>
      </c>
      <c r="P10" s="7">
        <v>91.94</v>
      </c>
      <c r="Q10" s="9">
        <v>36.04</v>
      </c>
      <c r="R10" s="8">
        <v>29.33</v>
      </c>
      <c r="S10" s="9">
        <v>40.4</v>
      </c>
      <c r="T10" s="8">
        <v>263.15</v>
      </c>
      <c r="U10" s="106">
        <v>307.88</v>
      </c>
      <c r="V10" s="7">
        <v>4987.47</v>
      </c>
      <c r="W10" s="9">
        <v>5735.99</v>
      </c>
      <c r="X10" s="8">
        <v>1661</v>
      </c>
      <c r="Y10" s="9">
        <v>3478</v>
      </c>
      <c r="Z10" s="100">
        <v>38.84</v>
      </c>
      <c r="AA10" s="1018">
        <v>23.3</v>
      </c>
      <c r="AB10" s="582">
        <v>1121.7</v>
      </c>
      <c r="AC10" s="583">
        <v>691.58</v>
      </c>
      <c r="AD10" s="111">
        <v>1475.91</v>
      </c>
      <c r="AE10" s="1017">
        <v>2177.83</v>
      </c>
      <c r="AF10" s="7">
        <v>42.86</v>
      </c>
      <c r="AG10" s="9">
        <v>67.71</v>
      </c>
      <c r="AH10" s="8">
        <v>89.22</v>
      </c>
      <c r="AI10" s="9">
        <v>41.01</v>
      </c>
      <c r="AJ10" s="8">
        <v>164.68</v>
      </c>
      <c r="AK10" s="9">
        <v>64.73</v>
      </c>
      <c r="AL10" s="8"/>
      <c r="AM10" s="106"/>
      <c r="AN10" s="1504">
        <v>1879</v>
      </c>
      <c r="AO10" s="1505">
        <v>2818</v>
      </c>
      <c r="AP10" s="1499">
        <v>162.52</v>
      </c>
      <c r="AQ10" s="107">
        <v>115.07</v>
      </c>
      <c r="AR10" s="109">
        <v>0.45</v>
      </c>
      <c r="AS10" s="110">
        <v>1.97</v>
      </c>
      <c r="AT10" s="8">
        <v>98.46</v>
      </c>
      <c r="AU10" s="9">
        <v>123.39</v>
      </c>
      <c r="AV10" s="457">
        <f t="shared" si="0"/>
        <v>16103.619999999999</v>
      </c>
      <c r="AW10" s="1013">
        <f t="shared" si="1"/>
        <v>19129.28</v>
      </c>
      <c r="AX10" s="8">
        <v>89138.57</v>
      </c>
      <c r="AY10" s="106"/>
      <c r="AZ10" s="1511">
        <f t="shared" si="2"/>
        <v>105242.19</v>
      </c>
      <c r="BA10" s="104">
        <f t="shared" si="3"/>
        <v>19129.28</v>
      </c>
    </row>
    <row r="11" spans="1:53" s="105" customFormat="1" ht="13.5">
      <c r="A11" s="112" t="s">
        <v>9</v>
      </c>
      <c r="B11" s="46"/>
      <c r="C11" s="104"/>
      <c r="D11" s="8"/>
      <c r="E11" s="106"/>
      <c r="F11" s="8"/>
      <c r="G11" s="9"/>
      <c r="H11" s="8"/>
      <c r="I11" s="9"/>
      <c r="J11" s="8"/>
      <c r="K11" s="106"/>
      <c r="L11" s="7"/>
      <c r="M11" s="9"/>
      <c r="N11" s="8"/>
      <c r="O11" s="106"/>
      <c r="P11" s="7"/>
      <c r="Q11" s="9"/>
      <c r="R11" s="8"/>
      <c r="S11" s="9"/>
      <c r="T11" s="8"/>
      <c r="U11" s="106"/>
      <c r="V11" s="7"/>
      <c r="W11" s="9"/>
      <c r="X11" s="8"/>
      <c r="Y11" s="9"/>
      <c r="Z11" s="100"/>
      <c r="AA11" s="1018"/>
      <c r="AB11" s="582"/>
      <c r="AC11" s="583"/>
      <c r="AD11" s="111"/>
      <c r="AE11" s="1017"/>
      <c r="AF11" s="7"/>
      <c r="AG11" s="9"/>
      <c r="AH11" s="8"/>
      <c r="AI11" s="9"/>
      <c r="AJ11" s="8"/>
      <c r="AK11" s="9"/>
      <c r="AL11" s="8"/>
      <c r="AM11" s="106"/>
      <c r="AN11" s="1504"/>
      <c r="AO11" s="1505"/>
      <c r="AP11" s="1499"/>
      <c r="AQ11" s="107"/>
      <c r="AR11" s="109"/>
      <c r="AS11" s="110"/>
      <c r="AT11" s="8"/>
      <c r="AU11" s="9">
        <v>0.01</v>
      </c>
      <c r="AV11" s="457">
        <f t="shared" si="0"/>
        <v>0</v>
      </c>
      <c r="AW11" s="1013">
        <f t="shared" si="1"/>
        <v>0.01</v>
      </c>
      <c r="AX11" s="8"/>
      <c r="AY11" s="106"/>
      <c r="AZ11" s="1511">
        <f t="shared" si="2"/>
        <v>0</v>
      </c>
      <c r="BA11" s="104">
        <f t="shared" si="3"/>
        <v>0.01</v>
      </c>
    </row>
    <row r="12" spans="1:53" s="673" customFormat="1" ht="13.5">
      <c r="A12" s="659" t="s">
        <v>10</v>
      </c>
      <c r="B12" s="665">
        <f aca="true" t="shared" si="4" ref="B12:Q12">SUM(B5:B11)</f>
        <v>2118.89</v>
      </c>
      <c r="C12" s="666">
        <f t="shared" si="4"/>
        <v>1853.65</v>
      </c>
      <c r="D12" s="665">
        <f t="shared" si="4"/>
        <v>15.11</v>
      </c>
      <c r="E12" s="667">
        <f t="shared" si="4"/>
        <v>18.54</v>
      </c>
      <c r="F12" s="665">
        <f t="shared" si="4"/>
        <v>108.9804</v>
      </c>
      <c r="G12" s="666">
        <f t="shared" si="4"/>
        <v>0</v>
      </c>
      <c r="H12" s="665">
        <f t="shared" si="4"/>
        <v>3121</v>
      </c>
      <c r="I12" s="666">
        <f t="shared" si="4"/>
        <v>3180</v>
      </c>
      <c r="J12" s="665">
        <f t="shared" si="4"/>
        <v>266.55</v>
      </c>
      <c r="K12" s="667">
        <f t="shared" si="4"/>
        <v>193</v>
      </c>
      <c r="L12" s="1496">
        <f t="shared" si="4"/>
        <v>493.46</v>
      </c>
      <c r="M12" s="666">
        <f t="shared" si="4"/>
        <v>435.02</v>
      </c>
      <c r="N12" s="668">
        <f t="shared" si="4"/>
        <v>905.0899999999999</v>
      </c>
      <c r="O12" s="669">
        <f t="shared" si="4"/>
        <v>348.96</v>
      </c>
      <c r="P12" s="1496">
        <f t="shared" si="4"/>
        <v>102.03999999999999</v>
      </c>
      <c r="Q12" s="666">
        <f t="shared" si="4"/>
        <v>52.01</v>
      </c>
      <c r="R12" s="668">
        <f aca="true" t="shared" si="5" ref="R12:AG12">SUM(R5:R11)</f>
        <v>82.77</v>
      </c>
      <c r="S12" s="670">
        <f t="shared" si="5"/>
        <v>115.53999999999999</v>
      </c>
      <c r="T12" s="665">
        <f t="shared" si="5"/>
        <v>334.33</v>
      </c>
      <c r="U12" s="667">
        <f t="shared" si="5"/>
        <v>395.67</v>
      </c>
      <c r="V12" s="1496">
        <f t="shared" si="5"/>
        <v>7326.530000000001</v>
      </c>
      <c r="W12" s="666">
        <f t="shared" si="5"/>
        <v>8872.02</v>
      </c>
      <c r="X12" s="665">
        <f t="shared" si="5"/>
        <v>2224</v>
      </c>
      <c r="Y12" s="666">
        <f t="shared" si="5"/>
        <v>4611</v>
      </c>
      <c r="Z12" s="665">
        <f t="shared" si="5"/>
        <v>162.36</v>
      </c>
      <c r="AA12" s="666">
        <f t="shared" si="5"/>
        <v>153.49</v>
      </c>
      <c r="AB12" s="668">
        <f t="shared" si="5"/>
        <v>1293.58</v>
      </c>
      <c r="AC12" s="670">
        <f t="shared" si="5"/>
        <v>904.75</v>
      </c>
      <c r="AD12" s="665">
        <f t="shared" si="5"/>
        <v>1845.5100000000002</v>
      </c>
      <c r="AE12" s="667">
        <f t="shared" si="5"/>
        <v>2707.02</v>
      </c>
      <c r="AF12" s="1496">
        <f t="shared" si="5"/>
        <v>413.71</v>
      </c>
      <c r="AG12" s="666">
        <f t="shared" si="5"/>
        <v>452.59</v>
      </c>
      <c r="AH12" s="665">
        <f aca="true" t="shared" si="6" ref="AH12:AU12">SUM(AH5:AH11)</f>
        <v>288.43999999999994</v>
      </c>
      <c r="AI12" s="666">
        <f t="shared" si="6"/>
        <v>468.77</v>
      </c>
      <c r="AJ12" s="665">
        <f t="shared" si="6"/>
        <v>164.91</v>
      </c>
      <c r="AK12" s="666">
        <f t="shared" si="6"/>
        <v>64.86</v>
      </c>
      <c r="AL12" s="665">
        <f t="shared" si="6"/>
        <v>0</v>
      </c>
      <c r="AM12" s="667">
        <f t="shared" si="6"/>
        <v>0</v>
      </c>
      <c r="AN12" s="1496">
        <f t="shared" si="6"/>
        <v>4156</v>
      </c>
      <c r="AO12" s="670">
        <f t="shared" si="6"/>
        <v>5348</v>
      </c>
      <c r="AP12" s="665">
        <f t="shared" si="6"/>
        <v>305.64</v>
      </c>
      <c r="AQ12" s="666">
        <v>214.35</v>
      </c>
      <c r="AR12" s="665">
        <f t="shared" si="6"/>
        <v>67.96830000000001</v>
      </c>
      <c r="AS12" s="666">
        <f t="shared" si="6"/>
        <v>127.80109999999999</v>
      </c>
      <c r="AT12" s="665">
        <f t="shared" si="6"/>
        <v>125.13999999999999</v>
      </c>
      <c r="AU12" s="665">
        <f t="shared" si="6"/>
        <v>160.75</v>
      </c>
      <c r="AV12" s="671">
        <f t="shared" si="0"/>
        <v>24730.468699999998</v>
      </c>
      <c r="AW12" s="1014">
        <f t="shared" si="1"/>
        <v>29825.051100000004</v>
      </c>
      <c r="AX12" s="672">
        <f>SUM(AX5:AX11)</f>
        <v>91179.11</v>
      </c>
      <c r="AY12" s="1509">
        <f>SUM(AY5:AY11)</f>
        <v>0</v>
      </c>
      <c r="AZ12" s="1496">
        <f t="shared" si="2"/>
        <v>115909.5787</v>
      </c>
      <c r="BA12" s="670">
        <f t="shared" si="3"/>
        <v>29825.051100000004</v>
      </c>
    </row>
    <row r="13" spans="1:53" s="105" customFormat="1" ht="13.5">
      <c r="A13" s="112" t="s">
        <v>11</v>
      </c>
      <c r="B13" s="98"/>
      <c r="C13" s="113"/>
      <c r="D13" s="8"/>
      <c r="E13" s="106"/>
      <c r="F13" s="8"/>
      <c r="G13" s="9"/>
      <c r="H13" s="8"/>
      <c r="I13" s="9"/>
      <c r="J13" s="8"/>
      <c r="K13" s="106"/>
      <c r="L13" s="7"/>
      <c r="M13" s="9"/>
      <c r="N13" s="8"/>
      <c r="O13" s="106"/>
      <c r="P13" s="7"/>
      <c r="Q13" s="9"/>
      <c r="R13" s="10"/>
      <c r="S13" s="11"/>
      <c r="T13" s="10"/>
      <c r="U13" s="523"/>
      <c r="V13" s="1498"/>
      <c r="W13" s="11"/>
      <c r="X13" s="10"/>
      <c r="Y13" s="11"/>
      <c r="Z13" s="10"/>
      <c r="AA13" s="11"/>
      <c r="AB13" s="582"/>
      <c r="AC13" s="583"/>
      <c r="AD13" s="8"/>
      <c r="AE13" s="106"/>
      <c r="AF13" s="7"/>
      <c r="AG13" s="9"/>
      <c r="AH13" s="8"/>
      <c r="AI13" s="9">
        <v>-0.003</v>
      </c>
      <c r="AJ13" s="8"/>
      <c r="AK13" s="9"/>
      <c r="AL13" s="8"/>
      <c r="AM13" s="106"/>
      <c r="AN13" s="1506"/>
      <c r="AO13" s="1507"/>
      <c r="AP13" s="1499"/>
      <c r="AQ13" s="107"/>
      <c r="AR13" s="109"/>
      <c r="AS13" s="110"/>
      <c r="AT13" s="8"/>
      <c r="AU13" s="9"/>
      <c r="AV13" s="457">
        <f t="shared" si="0"/>
        <v>0</v>
      </c>
      <c r="AW13" s="1013">
        <f t="shared" si="1"/>
        <v>-0.003</v>
      </c>
      <c r="AX13" s="109"/>
      <c r="AY13" s="1508"/>
      <c r="AZ13" s="1511">
        <f t="shared" si="2"/>
        <v>0</v>
      </c>
      <c r="BA13" s="104">
        <f t="shared" si="3"/>
        <v>-0.003</v>
      </c>
    </row>
    <row r="14" spans="1:53" s="673" customFormat="1" ht="14.25" thickBot="1">
      <c r="A14" s="661" t="s">
        <v>12</v>
      </c>
      <c r="B14" s="674">
        <f aca="true" t="shared" si="7" ref="B14:AG14">B12+B13</f>
        <v>2118.89</v>
      </c>
      <c r="C14" s="675">
        <f t="shared" si="7"/>
        <v>1853.65</v>
      </c>
      <c r="D14" s="674">
        <f t="shared" si="7"/>
        <v>15.11</v>
      </c>
      <c r="E14" s="676">
        <f t="shared" si="7"/>
        <v>18.54</v>
      </c>
      <c r="F14" s="674">
        <f t="shared" si="7"/>
        <v>108.9804</v>
      </c>
      <c r="G14" s="675">
        <f t="shared" si="7"/>
        <v>0</v>
      </c>
      <c r="H14" s="674">
        <f t="shared" si="7"/>
        <v>3121</v>
      </c>
      <c r="I14" s="675">
        <f t="shared" si="7"/>
        <v>3180</v>
      </c>
      <c r="J14" s="674">
        <f t="shared" si="7"/>
        <v>266.55</v>
      </c>
      <c r="K14" s="676">
        <f t="shared" si="7"/>
        <v>193</v>
      </c>
      <c r="L14" s="1497">
        <f t="shared" si="7"/>
        <v>493.46</v>
      </c>
      <c r="M14" s="675">
        <f t="shared" si="7"/>
        <v>435.02</v>
      </c>
      <c r="N14" s="677">
        <f t="shared" si="7"/>
        <v>905.0899999999999</v>
      </c>
      <c r="O14" s="678">
        <f t="shared" si="7"/>
        <v>348.96</v>
      </c>
      <c r="P14" s="1497">
        <f>P12+P13</f>
        <v>102.03999999999999</v>
      </c>
      <c r="Q14" s="675">
        <f>Q12+Q13</f>
        <v>52.01</v>
      </c>
      <c r="R14" s="677">
        <f t="shared" si="7"/>
        <v>82.77</v>
      </c>
      <c r="S14" s="679">
        <f t="shared" si="7"/>
        <v>115.53999999999999</v>
      </c>
      <c r="T14" s="674">
        <f t="shared" si="7"/>
        <v>334.33</v>
      </c>
      <c r="U14" s="676">
        <f t="shared" si="7"/>
        <v>395.67</v>
      </c>
      <c r="V14" s="1497">
        <f t="shared" si="7"/>
        <v>7326.530000000001</v>
      </c>
      <c r="W14" s="675">
        <f t="shared" si="7"/>
        <v>8872.02</v>
      </c>
      <c r="X14" s="674">
        <f t="shared" si="7"/>
        <v>2224</v>
      </c>
      <c r="Y14" s="675">
        <f t="shared" si="7"/>
        <v>4611</v>
      </c>
      <c r="Z14" s="674">
        <f t="shared" si="7"/>
        <v>162.36</v>
      </c>
      <c r="AA14" s="675">
        <f t="shared" si="7"/>
        <v>153.49</v>
      </c>
      <c r="AB14" s="677">
        <f t="shared" si="7"/>
        <v>1293.58</v>
      </c>
      <c r="AC14" s="679">
        <f t="shared" si="7"/>
        <v>904.75</v>
      </c>
      <c r="AD14" s="674">
        <f t="shared" si="7"/>
        <v>1845.5100000000002</v>
      </c>
      <c r="AE14" s="676">
        <f t="shared" si="7"/>
        <v>2707.02</v>
      </c>
      <c r="AF14" s="1497">
        <f t="shared" si="7"/>
        <v>413.71</v>
      </c>
      <c r="AG14" s="675">
        <f t="shared" si="7"/>
        <v>452.59</v>
      </c>
      <c r="AH14" s="674">
        <f aca="true" t="shared" si="8" ref="AH14:AU14">AH12+AH13</f>
        <v>288.43999999999994</v>
      </c>
      <c r="AI14" s="675">
        <f t="shared" si="8"/>
        <v>468.767</v>
      </c>
      <c r="AJ14" s="674">
        <f t="shared" si="8"/>
        <v>164.91</v>
      </c>
      <c r="AK14" s="675">
        <f t="shared" si="8"/>
        <v>64.86</v>
      </c>
      <c r="AL14" s="674">
        <f t="shared" si="8"/>
        <v>0</v>
      </c>
      <c r="AM14" s="676">
        <f t="shared" si="8"/>
        <v>0</v>
      </c>
      <c r="AN14" s="1497">
        <f t="shared" si="8"/>
        <v>4156</v>
      </c>
      <c r="AO14" s="675">
        <f t="shared" si="8"/>
        <v>5348</v>
      </c>
      <c r="AP14" s="674">
        <f t="shared" si="8"/>
        <v>305.64</v>
      </c>
      <c r="AQ14" s="675">
        <f t="shared" si="8"/>
        <v>214.35</v>
      </c>
      <c r="AR14" s="674">
        <f t="shared" si="8"/>
        <v>67.96830000000001</v>
      </c>
      <c r="AS14" s="675">
        <f t="shared" si="8"/>
        <v>127.80109999999999</v>
      </c>
      <c r="AT14" s="674">
        <f t="shared" si="8"/>
        <v>125.13999999999999</v>
      </c>
      <c r="AU14" s="674">
        <f t="shared" si="8"/>
        <v>160.75</v>
      </c>
      <c r="AV14" s="1015">
        <f t="shared" si="0"/>
        <v>24730.468699999998</v>
      </c>
      <c r="AW14" s="1016">
        <f t="shared" si="1"/>
        <v>29825.048100000004</v>
      </c>
      <c r="AX14" s="680">
        <f>AX12+AX13</f>
        <v>91179.11</v>
      </c>
      <c r="AY14" s="1510">
        <f>AY12+AY13</f>
        <v>0</v>
      </c>
      <c r="AZ14" s="1497">
        <f t="shared" si="2"/>
        <v>115909.5787</v>
      </c>
      <c r="BA14" s="679">
        <f t="shared" si="3"/>
        <v>29825.048100000004</v>
      </c>
    </row>
  </sheetData>
  <sheetProtection/>
  <mergeCells count="29">
    <mergeCell ref="D3:E3"/>
    <mergeCell ref="B3:C3"/>
    <mergeCell ref="X3:Y3"/>
    <mergeCell ref="V3:W3"/>
    <mergeCell ref="P3:Q3"/>
    <mergeCell ref="R3:S3"/>
    <mergeCell ref="T3:U3"/>
    <mergeCell ref="Z3:AA3"/>
    <mergeCell ref="AB3:AC3"/>
    <mergeCell ref="AD3:AE3"/>
    <mergeCell ref="L3:M3"/>
    <mergeCell ref="F3:G3"/>
    <mergeCell ref="H3:I3"/>
    <mergeCell ref="A1:AY1"/>
    <mergeCell ref="A2:AY2"/>
    <mergeCell ref="A3:A4"/>
    <mergeCell ref="J3:K3"/>
    <mergeCell ref="AZ3:BA3"/>
    <mergeCell ref="AX3:AY3"/>
    <mergeCell ref="AV3:AW3"/>
    <mergeCell ref="AP3:AQ3"/>
    <mergeCell ref="AR3:AS3"/>
    <mergeCell ref="AT3:AU3"/>
    <mergeCell ref="N3:O3"/>
    <mergeCell ref="AN3:AO3"/>
    <mergeCell ref="AL3:AM3"/>
    <mergeCell ref="AJ3:AK3"/>
    <mergeCell ref="AH3:AI3"/>
    <mergeCell ref="AF3:AG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4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H6" sqref="AH6"/>
    </sheetView>
  </sheetViews>
  <sheetFormatPr defaultColWidth="9.140625" defaultRowHeight="15"/>
  <cols>
    <col min="1" max="1" width="71.8515625" style="13" customWidth="1"/>
    <col min="2" max="15" width="12.8515625" style="13" bestFit="1" customWidth="1"/>
    <col min="16" max="17" width="12.8515625" style="44" bestFit="1" customWidth="1"/>
    <col min="18" max="25" width="12.8515625" style="13" bestFit="1" customWidth="1"/>
    <col min="26" max="27" width="12.8515625" style="44" bestFit="1" customWidth="1"/>
    <col min="28" max="53" width="12.8515625" style="13" bestFit="1" customWidth="1"/>
    <col min="54" max="16384" width="9.140625" style="13" customWidth="1"/>
  </cols>
  <sheetData>
    <row r="1" spans="1:51" ht="14.25">
      <c r="A1" s="1800" t="s">
        <v>13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  <c r="T1" s="1800"/>
      <c r="U1" s="1800"/>
      <c r="V1" s="1800"/>
      <c r="W1" s="1800"/>
      <c r="X1" s="1800"/>
      <c r="Y1" s="1800"/>
      <c r="Z1" s="1800"/>
      <c r="AA1" s="1800"/>
      <c r="AB1" s="1800"/>
      <c r="AC1" s="1800"/>
      <c r="AD1" s="1800"/>
      <c r="AE1" s="1800"/>
      <c r="AF1" s="1800"/>
      <c r="AG1" s="1800"/>
      <c r="AH1" s="1800"/>
      <c r="AI1" s="1800"/>
      <c r="AJ1" s="1800"/>
      <c r="AK1" s="1800"/>
      <c r="AL1" s="1800"/>
      <c r="AM1" s="1800"/>
      <c r="AN1" s="1800"/>
      <c r="AO1" s="1800"/>
      <c r="AP1" s="1800"/>
      <c r="AQ1" s="1800"/>
      <c r="AR1" s="1800"/>
      <c r="AS1" s="1800"/>
      <c r="AT1" s="1800"/>
      <c r="AU1" s="1800"/>
      <c r="AV1" s="1800"/>
      <c r="AW1" s="1800"/>
      <c r="AX1" s="1800"/>
      <c r="AY1" s="1800"/>
    </row>
    <row r="2" spans="1:51" ht="15" thickBot="1">
      <c r="A2" s="1730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1730"/>
      <c r="Y2" s="1730"/>
      <c r="Z2" s="1730"/>
      <c r="AA2" s="1730"/>
      <c r="AB2" s="1730"/>
      <c r="AC2" s="1730"/>
      <c r="AD2" s="1730"/>
      <c r="AE2" s="1730"/>
      <c r="AF2" s="1730"/>
      <c r="AG2" s="1730"/>
      <c r="AH2" s="1730"/>
      <c r="AI2" s="1730"/>
      <c r="AJ2" s="1730"/>
      <c r="AK2" s="1730"/>
      <c r="AL2" s="1730"/>
      <c r="AM2" s="1730"/>
      <c r="AN2" s="1730"/>
      <c r="AO2" s="1730"/>
      <c r="AP2" s="1730"/>
      <c r="AQ2" s="1730"/>
      <c r="AR2" s="1730"/>
      <c r="AS2" s="1730"/>
      <c r="AT2" s="1730"/>
      <c r="AU2" s="1730"/>
      <c r="AV2" s="1730"/>
      <c r="AW2" s="1730"/>
      <c r="AX2" s="1730"/>
      <c r="AY2" s="1730"/>
    </row>
    <row r="3" spans="1:53" s="1323" customFormat="1" ht="28.5" customHeight="1">
      <c r="A3" s="1825" t="s">
        <v>0</v>
      </c>
      <c r="B3" s="1839" t="s">
        <v>184</v>
      </c>
      <c r="C3" s="1840"/>
      <c r="D3" s="1839" t="s">
        <v>185</v>
      </c>
      <c r="E3" s="1840"/>
      <c r="F3" s="1839" t="s">
        <v>186</v>
      </c>
      <c r="G3" s="1840"/>
      <c r="H3" s="1839" t="s">
        <v>187</v>
      </c>
      <c r="I3" s="1840"/>
      <c r="J3" s="1839" t="s">
        <v>188</v>
      </c>
      <c r="K3" s="1840"/>
      <c r="L3" s="1839" t="s">
        <v>189</v>
      </c>
      <c r="M3" s="1840"/>
      <c r="N3" s="1839" t="s">
        <v>527</v>
      </c>
      <c r="O3" s="1840"/>
      <c r="P3" s="1845" t="s">
        <v>190</v>
      </c>
      <c r="Q3" s="1846"/>
      <c r="R3" s="1839" t="s">
        <v>191</v>
      </c>
      <c r="S3" s="1840"/>
      <c r="T3" s="1839" t="s">
        <v>192</v>
      </c>
      <c r="U3" s="1840"/>
      <c r="V3" s="1839" t="s">
        <v>193</v>
      </c>
      <c r="W3" s="1840"/>
      <c r="X3" s="1839" t="s">
        <v>194</v>
      </c>
      <c r="Y3" s="1840"/>
      <c r="Z3" s="1845" t="s">
        <v>195</v>
      </c>
      <c r="AA3" s="1846"/>
      <c r="AB3" s="1839" t="s">
        <v>196</v>
      </c>
      <c r="AC3" s="1840"/>
      <c r="AD3" s="1841" t="s">
        <v>197</v>
      </c>
      <c r="AE3" s="1842"/>
      <c r="AF3" s="1839" t="s">
        <v>198</v>
      </c>
      <c r="AG3" s="1840"/>
      <c r="AH3" s="1839" t="s">
        <v>199</v>
      </c>
      <c r="AI3" s="1840"/>
      <c r="AJ3" s="1839" t="s">
        <v>200</v>
      </c>
      <c r="AK3" s="1840"/>
      <c r="AL3" s="1841" t="s">
        <v>201</v>
      </c>
      <c r="AM3" s="1842"/>
      <c r="AN3" s="1839" t="s">
        <v>202</v>
      </c>
      <c r="AO3" s="1840"/>
      <c r="AP3" s="1839" t="s">
        <v>203</v>
      </c>
      <c r="AQ3" s="1840"/>
      <c r="AR3" s="1839" t="s">
        <v>204</v>
      </c>
      <c r="AS3" s="1840"/>
      <c r="AT3" s="1839" t="s">
        <v>205</v>
      </c>
      <c r="AU3" s="1840"/>
      <c r="AV3" s="1839" t="s">
        <v>1</v>
      </c>
      <c r="AW3" s="1840"/>
      <c r="AX3" s="1843" t="s">
        <v>206</v>
      </c>
      <c r="AY3" s="1844"/>
      <c r="AZ3" s="1841" t="s">
        <v>2</v>
      </c>
      <c r="BA3" s="1842"/>
    </row>
    <row r="4" spans="1:53" s="660" customFormat="1" ht="15" thickBot="1">
      <c r="A4" s="1826"/>
      <c r="B4" s="1199" t="s">
        <v>277</v>
      </c>
      <c r="C4" s="1200" t="s">
        <v>446</v>
      </c>
      <c r="D4" s="1199" t="s">
        <v>277</v>
      </c>
      <c r="E4" s="1200" t="s">
        <v>446</v>
      </c>
      <c r="F4" s="1199" t="s">
        <v>277</v>
      </c>
      <c r="G4" s="1200" t="s">
        <v>446</v>
      </c>
      <c r="H4" s="1199" t="s">
        <v>277</v>
      </c>
      <c r="I4" s="1200" t="s">
        <v>446</v>
      </c>
      <c r="J4" s="1199" t="s">
        <v>277</v>
      </c>
      <c r="K4" s="1200" t="s">
        <v>446</v>
      </c>
      <c r="L4" s="1199" t="s">
        <v>277</v>
      </c>
      <c r="M4" s="1200" t="s">
        <v>446</v>
      </c>
      <c r="N4" s="1199" t="s">
        <v>277</v>
      </c>
      <c r="O4" s="1200" t="s">
        <v>446</v>
      </c>
      <c r="P4" s="1199" t="s">
        <v>277</v>
      </c>
      <c r="Q4" s="1200" t="s">
        <v>446</v>
      </c>
      <c r="R4" s="1199" t="s">
        <v>277</v>
      </c>
      <c r="S4" s="1200" t="s">
        <v>446</v>
      </c>
      <c r="T4" s="1199" t="s">
        <v>277</v>
      </c>
      <c r="U4" s="1200" t="s">
        <v>446</v>
      </c>
      <c r="V4" s="1199" t="s">
        <v>277</v>
      </c>
      <c r="W4" s="1200" t="s">
        <v>446</v>
      </c>
      <c r="X4" s="1199" t="s">
        <v>277</v>
      </c>
      <c r="Y4" s="1200" t="s">
        <v>446</v>
      </c>
      <c r="Z4" s="1199" t="s">
        <v>277</v>
      </c>
      <c r="AA4" s="1200" t="s">
        <v>446</v>
      </c>
      <c r="AB4" s="1199" t="s">
        <v>277</v>
      </c>
      <c r="AC4" s="1200" t="s">
        <v>446</v>
      </c>
      <c r="AD4" s="1199" t="s">
        <v>277</v>
      </c>
      <c r="AE4" s="1200" t="s">
        <v>446</v>
      </c>
      <c r="AF4" s="1199" t="s">
        <v>277</v>
      </c>
      <c r="AG4" s="1200" t="s">
        <v>446</v>
      </c>
      <c r="AH4" s="1199" t="s">
        <v>277</v>
      </c>
      <c r="AI4" s="1200" t="s">
        <v>446</v>
      </c>
      <c r="AJ4" s="1199" t="s">
        <v>277</v>
      </c>
      <c r="AK4" s="1200" t="s">
        <v>446</v>
      </c>
      <c r="AL4" s="1199" t="s">
        <v>277</v>
      </c>
      <c r="AM4" s="1200" t="s">
        <v>446</v>
      </c>
      <c r="AN4" s="1199" t="s">
        <v>277</v>
      </c>
      <c r="AO4" s="1200" t="s">
        <v>446</v>
      </c>
      <c r="AP4" s="1199" t="s">
        <v>277</v>
      </c>
      <c r="AQ4" s="1200" t="s">
        <v>446</v>
      </c>
      <c r="AR4" s="1199" t="s">
        <v>277</v>
      </c>
      <c r="AS4" s="1200" t="s">
        <v>446</v>
      </c>
      <c r="AT4" s="1199" t="s">
        <v>277</v>
      </c>
      <c r="AU4" s="1200" t="s">
        <v>446</v>
      </c>
      <c r="AV4" s="1199" t="s">
        <v>277</v>
      </c>
      <c r="AW4" s="1200" t="s">
        <v>446</v>
      </c>
      <c r="AX4" s="1199" t="s">
        <v>277</v>
      </c>
      <c r="AY4" s="1200" t="s">
        <v>446</v>
      </c>
      <c r="AZ4" s="1199" t="s">
        <v>277</v>
      </c>
      <c r="BA4" s="1200" t="s">
        <v>446</v>
      </c>
    </row>
    <row r="5" spans="1:53" s="1191" customFormat="1" ht="13.5">
      <c r="A5" s="531" t="s">
        <v>3</v>
      </c>
      <c r="B5" s="774">
        <v>14303</v>
      </c>
      <c r="C5" s="775">
        <v>25358</v>
      </c>
      <c r="D5" s="774"/>
      <c r="E5" s="775"/>
      <c r="F5" s="774">
        <v>2184</v>
      </c>
      <c r="G5" s="775"/>
      <c r="H5" s="774">
        <v>7197</v>
      </c>
      <c r="I5" s="775">
        <v>4648</v>
      </c>
      <c r="J5" s="774"/>
      <c r="K5" s="775"/>
      <c r="L5" s="774"/>
      <c r="M5" s="775"/>
      <c r="N5" s="774"/>
      <c r="O5" s="775"/>
      <c r="P5" s="774">
        <v>601</v>
      </c>
      <c r="Q5" s="775">
        <v>-1</v>
      </c>
      <c r="R5" s="774"/>
      <c r="S5" s="775"/>
      <c r="T5" s="774">
        <v>3493</v>
      </c>
      <c r="U5" s="775">
        <v>2951</v>
      </c>
      <c r="V5" s="774">
        <v>2498</v>
      </c>
      <c r="W5" s="775">
        <v>5908</v>
      </c>
      <c r="X5" s="774">
        <v>628161</v>
      </c>
      <c r="Y5" s="775">
        <v>124795</v>
      </c>
      <c r="Z5" s="774"/>
      <c r="AA5" s="1196">
        <v>-12</v>
      </c>
      <c r="AB5" s="45">
        <v>0</v>
      </c>
      <c r="AC5" s="232">
        <v>0</v>
      </c>
      <c r="AD5" s="774">
        <v>152</v>
      </c>
      <c r="AE5" s="775">
        <v>69</v>
      </c>
      <c r="AF5" s="774">
        <v>2432873</v>
      </c>
      <c r="AG5" s="774">
        <v>41477</v>
      </c>
      <c r="AH5" s="774">
        <v>346</v>
      </c>
      <c r="AI5" s="775">
        <v>658</v>
      </c>
      <c r="AJ5" s="774"/>
      <c r="AK5" s="775"/>
      <c r="AL5" s="774"/>
      <c r="AM5" s="775"/>
      <c r="AN5" s="1180">
        <v>31858</v>
      </c>
      <c r="AO5" s="1181">
        <v>13066</v>
      </c>
      <c r="AP5" s="774"/>
      <c r="AQ5" s="775"/>
      <c r="AR5" s="774">
        <v>47</v>
      </c>
      <c r="AS5" s="775">
        <v>8</v>
      </c>
      <c r="AT5" s="774">
        <v>6224</v>
      </c>
      <c r="AU5" s="775">
        <v>16314</v>
      </c>
      <c r="AV5" s="773">
        <f aca="true" t="shared" si="0" ref="AV5:AV14">SUM(B5+D5+F5+H5+J5+L5+N5+P5+R5+T5+V5+X5+Z5+P5+AD5+AF5+AH5+AJ5+AL5+AN5+AP5+AR5+AT5)</f>
        <v>3130538</v>
      </c>
      <c r="AW5" s="1197">
        <f aca="true" t="shared" si="1" ref="AW5:AW14">SUM(C5+E5+G5+I5+K5+M5+O5+Q5+S5+U5+W5+Y5+AA5+Q5+AE5+AG5+AI5+AK5+AM5+AO5+AQ5+AS5+AU5)</f>
        <v>235238</v>
      </c>
      <c r="AX5" s="774">
        <v>2458045</v>
      </c>
      <c r="AY5" s="775"/>
      <c r="AZ5" s="773">
        <f aca="true" t="shared" si="2" ref="AZ5:AZ14">AV5+AX5</f>
        <v>5588583</v>
      </c>
      <c r="BA5" s="1197">
        <f aca="true" t="shared" si="3" ref="BA5:BA14">AW5+AY5</f>
        <v>235238</v>
      </c>
    </row>
    <row r="6" spans="1:53" s="1191" customFormat="1" ht="13.5">
      <c r="A6" s="531" t="s">
        <v>4</v>
      </c>
      <c r="B6" s="15">
        <v>1233993</v>
      </c>
      <c r="C6" s="18">
        <v>179385</v>
      </c>
      <c r="D6" s="38"/>
      <c r="E6" s="41"/>
      <c r="F6" s="38">
        <v>12</v>
      </c>
      <c r="G6" s="41"/>
      <c r="H6" s="38">
        <v>12548564</v>
      </c>
      <c r="I6" s="41">
        <v>15308124</v>
      </c>
      <c r="J6" s="38">
        <v>21691</v>
      </c>
      <c r="K6" s="41">
        <v>12788</v>
      </c>
      <c r="L6" s="38">
        <v>2607002</v>
      </c>
      <c r="M6" s="41">
        <v>3356864</v>
      </c>
      <c r="N6" s="38">
        <v>6281</v>
      </c>
      <c r="O6" s="41">
        <v>15947</v>
      </c>
      <c r="P6" s="38"/>
      <c r="Q6" s="41">
        <v>182641</v>
      </c>
      <c r="R6" s="38">
        <v>373</v>
      </c>
      <c r="S6" s="41">
        <v>428</v>
      </c>
      <c r="T6" s="38">
        <v>24756</v>
      </c>
      <c r="U6" s="41">
        <v>67027</v>
      </c>
      <c r="V6" s="38">
        <v>22433341</v>
      </c>
      <c r="W6" s="41">
        <v>255774498</v>
      </c>
      <c r="X6" s="38">
        <v>316855</v>
      </c>
      <c r="Y6" s="41">
        <v>2090760</v>
      </c>
      <c r="Z6" s="1192">
        <v>21078</v>
      </c>
      <c r="AA6" s="1193">
        <v>20060</v>
      </c>
      <c r="AB6" s="38">
        <v>807404</v>
      </c>
      <c r="AC6" s="41">
        <v>810746</v>
      </c>
      <c r="AD6" s="38">
        <v>636516</v>
      </c>
      <c r="AE6" s="41">
        <v>3439906</v>
      </c>
      <c r="AF6" s="38">
        <v>153584</v>
      </c>
      <c r="AG6" s="38">
        <v>3560412</v>
      </c>
      <c r="AH6" s="38">
        <v>102131</v>
      </c>
      <c r="AI6" s="41">
        <v>1842522</v>
      </c>
      <c r="AJ6" s="38"/>
      <c r="AK6" s="41"/>
      <c r="AL6" s="38"/>
      <c r="AM6" s="41"/>
      <c r="AN6" s="1189">
        <v>546060</v>
      </c>
      <c r="AO6" s="1190">
        <v>596124</v>
      </c>
      <c r="AP6" s="1194">
        <v>5</v>
      </c>
      <c r="AQ6" s="1195">
        <v>1</v>
      </c>
      <c r="AR6" s="34">
        <v>648163</v>
      </c>
      <c r="AS6" s="35">
        <v>1475143</v>
      </c>
      <c r="AT6" s="38">
        <v>60</v>
      </c>
      <c r="AU6" s="41">
        <v>253</v>
      </c>
      <c r="AV6" s="17">
        <f t="shared" si="0"/>
        <v>41300465</v>
      </c>
      <c r="AW6" s="498">
        <f t="shared" si="1"/>
        <v>288105524</v>
      </c>
      <c r="AX6" s="34">
        <v>56463</v>
      </c>
      <c r="AY6" s="35"/>
      <c r="AZ6" s="17">
        <f t="shared" si="2"/>
        <v>41356928</v>
      </c>
      <c r="BA6" s="498">
        <f t="shared" si="3"/>
        <v>288105524</v>
      </c>
    </row>
    <row r="7" spans="1:53" s="1191" customFormat="1" ht="13.5">
      <c r="A7" s="531" t="s">
        <v>5</v>
      </c>
      <c r="B7" s="15">
        <v>18002</v>
      </c>
      <c r="C7" s="18">
        <v>1129403</v>
      </c>
      <c r="D7" s="38"/>
      <c r="E7" s="41">
        <v>37324</v>
      </c>
      <c r="F7" s="38"/>
      <c r="G7" s="41"/>
      <c r="H7" s="38">
        <v>6865907</v>
      </c>
      <c r="I7" s="41">
        <v>4296851</v>
      </c>
      <c r="J7" s="38">
        <v>71</v>
      </c>
      <c r="K7" s="41">
        <v>79</v>
      </c>
      <c r="L7" s="38">
        <v>10229</v>
      </c>
      <c r="M7" s="41">
        <v>12023</v>
      </c>
      <c r="N7" s="38">
        <v>450255</v>
      </c>
      <c r="O7" s="41">
        <v>835051</v>
      </c>
      <c r="P7" s="38"/>
      <c r="Q7" s="41"/>
      <c r="R7" s="38"/>
      <c r="S7" s="41"/>
      <c r="T7" s="38">
        <v>1879</v>
      </c>
      <c r="U7" s="41">
        <v>1522</v>
      </c>
      <c r="V7" s="38">
        <v>2849142</v>
      </c>
      <c r="W7" s="41">
        <v>3892458</v>
      </c>
      <c r="X7" s="38">
        <v>78247</v>
      </c>
      <c r="Y7" s="41">
        <v>425688</v>
      </c>
      <c r="Z7" s="1192"/>
      <c r="AA7" s="1193"/>
      <c r="AB7" s="38">
        <v>0</v>
      </c>
      <c r="AC7" s="41"/>
      <c r="AD7" s="38">
        <v>1574346</v>
      </c>
      <c r="AE7" s="41">
        <v>1489756</v>
      </c>
      <c r="AF7" s="38"/>
      <c r="AG7" s="38"/>
      <c r="AH7" s="38">
        <v>6365</v>
      </c>
      <c r="AI7" s="41">
        <v>7758</v>
      </c>
      <c r="AJ7" s="38"/>
      <c r="AK7" s="41"/>
      <c r="AL7" s="38"/>
      <c r="AM7" s="41"/>
      <c r="AN7" s="1189">
        <v>82703</v>
      </c>
      <c r="AO7" s="1190">
        <v>10714</v>
      </c>
      <c r="AP7" s="1194">
        <v>537489</v>
      </c>
      <c r="AQ7" s="1195">
        <v>514253</v>
      </c>
      <c r="AR7" s="34">
        <v>0</v>
      </c>
      <c r="AS7" s="35"/>
      <c r="AT7" s="38">
        <v>2</v>
      </c>
      <c r="AU7" s="41"/>
      <c r="AV7" s="17">
        <f t="shared" si="0"/>
        <v>12474637</v>
      </c>
      <c r="AW7" s="498">
        <f t="shared" si="1"/>
        <v>12652880</v>
      </c>
      <c r="AX7" s="34">
        <v>47861</v>
      </c>
      <c r="AY7" s="35"/>
      <c r="AZ7" s="17">
        <f t="shared" si="2"/>
        <v>12522498</v>
      </c>
      <c r="BA7" s="498">
        <f t="shared" si="3"/>
        <v>12652880</v>
      </c>
    </row>
    <row r="8" spans="1:53" s="1191" customFormat="1" ht="13.5">
      <c r="A8" s="531" t="s">
        <v>6</v>
      </c>
      <c r="B8" s="15">
        <v>862692</v>
      </c>
      <c r="C8" s="18">
        <v>651763</v>
      </c>
      <c r="D8" s="38">
        <v>78224</v>
      </c>
      <c r="E8" s="41">
        <v>91290</v>
      </c>
      <c r="F8" s="38">
        <v>282147</v>
      </c>
      <c r="G8" s="41"/>
      <c r="H8" s="38">
        <v>1608870</v>
      </c>
      <c r="I8" s="41">
        <v>1412712</v>
      </c>
      <c r="J8" s="38"/>
      <c r="K8" s="41"/>
      <c r="L8" s="38">
        <v>1572</v>
      </c>
      <c r="M8" s="41">
        <v>149</v>
      </c>
      <c r="N8" s="38">
        <v>8825777</v>
      </c>
      <c r="O8" s="41">
        <v>1847331</v>
      </c>
      <c r="P8" s="38">
        <v>52944</v>
      </c>
      <c r="Q8" s="41">
        <v>121592</v>
      </c>
      <c r="R8" s="38">
        <v>1641551</v>
      </c>
      <c r="S8" s="41">
        <v>1779175</v>
      </c>
      <c r="T8" s="38">
        <v>65128</v>
      </c>
      <c r="U8" s="41">
        <v>58994</v>
      </c>
      <c r="V8" s="38">
        <v>2436940</v>
      </c>
      <c r="W8" s="41">
        <v>3386765</v>
      </c>
      <c r="X8" s="38">
        <v>1460810</v>
      </c>
      <c r="Y8" s="41">
        <v>3181133</v>
      </c>
      <c r="Z8" s="1192"/>
      <c r="AA8" s="1193"/>
      <c r="AB8" s="38">
        <v>310544</v>
      </c>
      <c r="AC8" s="41">
        <v>628356</v>
      </c>
      <c r="AD8" s="38">
        <v>1085002</v>
      </c>
      <c r="AE8" s="41">
        <v>962757</v>
      </c>
      <c r="AF8" s="38">
        <v>432064</v>
      </c>
      <c r="AG8" s="38">
        <v>369070</v>
      </c>
      <c r="AH8" s="38">
        <v>448835</v>
      </c>
      <c r="AI8" s="41">
        <v>1299312</v>
      </c>
      <c r="AJ8" s="38">
        <v>5675</v>
      </c>
      <c r="AK8" s="41">
        <v>1228</v>
      </c>
      <c r="AL8" s="38"/>
      <c r="AM8" s="41"/>
      <c r="AN8" s="1189">
        <v>874527</v>
      </c>
      <c r="AO8" s="1190">
        <v>672677</v>
      </c>
      <c r="AP8" s="1194">
        <v>593130</v>
      </c>
      <c r="AQ8" s="1195">
        <v>251775</v>
      </c>
      <c r="AR8" s="34">
        <v>5555</v>
      </c>
      <c r="AS8" s="35">
        <v>3200</v>
      </c>
      <c r="AT8" s="38">
        <v>12836</v>
      </c>
      <c r="AU8" s="41">
        <v>220058</v>
      </c>
      <c r="AV8" s="17">
        <f t="shared" si="0"/>
        <v>20827223</v>
      </c>
      <c r="AW8" s="498">
        <f t="shared" si="1"/>
        <v>16432573</v>
      </c>
      <c r="AX8" s="34">
        <v>104965</v>
      </c>
      <c r="AY8" s="35"/>
      <c r="AZ8" s="17">
        <f t="shared" si="2"/>
        <v>20932188</v>
      </c>
      <c r="BA8" s="498">
        <f t="shared" si="3"/>
        <v>16432573</v>
      </c>
    </row>
    <row r="9" spans="1:53" s="1191" customFormat="1" ht="13.5">
      <c r="A9" s="531" t="s">
        <v>7</v>
      </c>
      <c r="B9" s="15"/>
      <c r="C9" s="18"/>
      <c r="D9" s="38"/>
      <c r="E9" s="41"/>
      <c r="F9" s="38"/>
      <c r="G9" s="41"/>
      <c r="H9" s="38">
        <v>1115560</v>
      </c>
      <c r="I9" s="41">
        <v>2132313</v>
      </c>
      <c r="J9" s="38"/>
      <c r="K9" s="41"/>
      <c r="L9" s="38"/>
      <c r="M9" s="41"/>
      <c r="N9" s="38">
        <v>928394</v>
      </c>
      <c r="O9" s="41">
        <v>630547</v>
      </c>
      <c r="P9" s="38"/>
      <c r="Q9" s="41"/>
      <c r="R9" s="38"/>
      <c r="S9" s="41"/>
      <c r="T9" s="38"/>
      <c r="U9" s="41"/>
      <c r="V9" s="38">
        <v>147863</v>
      </c>
      <c r="W9" s="41">
        <v>232930</v>
      </c>
      <c r="X9" s="38"/>
      <c r="Y9" s="41"/>
      <c r="Z9" s="1192"/>
      <c r="AA9" s="1193"/>
      <c r="AB9" s="38">
        <v>0</v>
      </c>
      <c r="AC9" s="41"/>
      <c r="AD9" s="38">
        <v>2602856</v>
      </c>
      <c r="AE9" s="41">
        <v>3628424</v>
      </c>
      <c r="AF9" s="38"/>
      <c r="AG9" s="41"/>
      <c r="AH9" s="38"/>
      <c r="AI9" s="41"/>
      <c r="AJ9" s="38"/>
      <c r="AK9" s="41"/>
      <c r="AL9" s="38"/>
      <c r="AM9" s="41"/>
      <c r="AN9" s="1189"/>
      <c r="AO9" s="1190"/>
      <c r="AP9" s="1194"/>
      <c r="AQ9" s="1195"/>
      <c r="AR9" s="34">
        <v>0</v>
      </c>
      <c r="AS9" s="35"/>
      <c r="AT9" s="38"/>
      <c r="AU9" s="41"/>
      <c r="AV9" s="17">
        <f t="shared" si="0"/>
        <v>4794673</v>
      </c>
      <c r="AW9" s="498">
        <f t="shared" si="1"/>
        <v>6624214</v>
      </c>
      <c r="AX9" s="34"/>
      <c r="AY9" s="35"/>
      <c r="AZ9" s="17">
        <f t="shared" si="2"/>
        <v>4794673</v>
      </c>
      <c r="BA9" s="498">
        <f t="shared" si="3"/>
        <v>6624214</v>
      </c>
    </row>
    <row r="10" spans="1:53" s="1191" customFormat="1" ht="13.5">
      <c r="A10" s="531" t="s">
        <v>8</v>
      </c>
      <c r="B10" s="15">
        <v>917753</v>
      </c>
      <c r="C10" s="18">
        <v>947120</v>
      </c>
      <c r="D10" s="38">
        <v>64631</v>
      </c>
      <c r="E10" s="41">
        <v>123071</v>
      </c>
      <c r="F10" s="38">
        <v>174288</v>
      </c>
      <c r="G10" s="41"/>
      <c r="H10" s="38">
        <v>13167484</v>
      </c>
      <c r="I10" s="41">
        <v>10926695</v>
      </c>
      <c r="J10" s="38">
        <v>62521</v>
      </c>
      <c r="K10" s="41">
        <v>467789</v>
      </c>
      <c r="L10" s="38">
        <v>11176</v>
      </c>
      <c r="M10" s="41">
        <v>17363</v>
      </c>
      <c r="N10" s="38">
        <v>9784305</v>
      </c>
      <c r="O10" s="41">
        <v>6169892</v>
      </c>
      <c r="P10" s="38">
        <v>61499</v>
      </c>
      <c r="Q10" s="41">
        <v>73314</v>
      </c>
      <c r="R10" s="38">
        <v>104202</v>
      </c>
      <c r="S10" s="41">
        <v>105628</v>
      </c>
      <c r="T10" s="38">
        <v>628994</v>
      </c>
      <c r="U10" s="41">
        <v>437868</v>
      </c>
      <c r="V10" s="38">
        <v>22535247</v>
      </c>
      <c r="W10" s="41">
        <v>27057582</v>
      </c>
      <c r="X10" s="38">
        <v>19602889</v>
      </c>
      <c r="Y10" s="41">
        <v>25318297</v>
      </c>
      <c r="Z10" s="1192">
        <v>194698</v>
      </c>
      <c r="AA10" s="1193">
        <v>52114</v>
      </c>
      <c r="AB10" s="38">
        <v>1006458</v>
      </c>
      <c r="AC10" s="41">
        <v>2468657</v>
      </c>
      <c r="AD10" s="42">
        <v>6045247</v>
      </c>
      <c r="AE10" s="43">
        <v>5721336</v>
      </c>
      <c r="AF10" s="38">
        <v>1141655</v>
      </c>
      <c r="AG10" s="41">
        <v>1910316</v>
      </c>
      <c r="AH10" s="38">
        <v>329332</v>
      </c>
      <c r="AI10" s="41">
        <v>824332</v>
      </c>
      <c r="AJ10" s="38">
        <v>3015788</v>
      </c>
      <c r="AK10" s="41">
        <v>612577</v>
      </c>
      <c r="AL10" s="38"/>
      <c r="AM10" s="41"/>
      <c r="AN10" s="1189">
        <v>2316680</v>
      </c>
      <c r="AO10" s="1190">
        <v>6115523</v>
      </c>
      <c r="AP10" s="1194">
        <v>3210605</v>
      </c>
      <c r="AQ10" s="1195">
        <v>2942634</v>
      </c>
      <c r="AR10" s="34">
        <v>12744</v>
      </c>
      <c r="AS10" s="35">
        <v>4537</v>
      </c>
      <c r="AT10" s="38">
        <v>136069</v>
      </c>
      <c r="AU10" s="41">
        <v>256508</v>
      </c>
      <c r="AV10" s="17">
        <f t="shared" si="0"/>
        <v>83579306</v>
      </c>
      <c r="AW10" s="498">
        <f t="shared" si="1"/>
        <v>90157810</v>
      </c>
      <c r="AX10" s="38">
        <v>53633354</v>
      </c>
      <c r="AY10" s="41"/>
      <c r="AZ10" s="17">
        <f t="shared" si="2"/>
        <v>137212660</v>
      </c>
      <c r="BA10" s="498">
        <f t="shared" si="3"/>
        <v>90157810</v>
      </c>
    </row>
    <row r="11" spans="1:53" s="1191" customFormat="1" ht="14.25" thickBot="1">
      <c r="A11" s="531" t="s">
        <v>9</v>
      </c>
      <c r="B11" s="1236"/>
      <c r="C11" s="1237"/>
      <c r="D11" s="1240"/>
      <c r="E11" s="1241"/>
      <c r="F11" s="1240"/>
      <c r="G11" s="1241"/>
      <c r="H11" s="1240"/>
      <c r="I11" s="1241"/>
      <c r="J11" s="1240"/>
      <c r="K11" s="1241"/>
      <c r="L11" s="1240"/>
      <c r="M11" s="1241"/>
      <c r="N11" s="1240"/>
      <c r="O11" s="1241"/>
      <c r="P11" s="1240"/>
      <c r="Q11" s="1241"/>
      <c r="R11" s="1240"/>
      <c r="S11" s="1241"/>
      <c r="T11" s="1240"/>
      <c r="U11" s="1241"/>
      <c r="V11" s="1240"/>
      <c r="W11" s="1241"/>
      <c r="X11" s="1240"/>
      <c r="Y11" s="1241">
        <v>53</v>
      </c>
      <c r="Z11" s="1242"/>
      <c r="AA11" s="1243"/>
      <c r="AB11" s="1240"/>
      <c r="AC11" s="1241"/>
      <c r="AD11" s="1063"/>
      <c r="AE11" s="1064"/>
      <c r="AF11" s="1240"/>
      <c r="AG11" s="1241"/>
      <c r="AH11" s="1240"/>
      <c r="AI11" s="1241"/>
      <c r="AJ11" s="1240"/>
      <c r="AK11" s="1241"/>
      <c r="AL11" s="1240"/>
      <c r="AM11" s="1241"/>
      <c r="AN11" s="1244"/>
      <c r="AO11" s="1245"/>
      <c r="AP11" s="1246"/>
      <c r="AQ11" s="1247"/>
      <c r="AR11" s="1248"/>
      <c r="AS11" s="1249"/>
      <c r="AT11" s="1240"/>
      <c r="AU11" s="1241">
        <v>72</v>
      </c>
      <c r="AV11" s="1075">
        <f t="shared" si="0"/>
        <v>0</v>
      </c>
      <c r="AW11" s="1061">
        <f t="shared" si="1"/>
        <v>125</v>
      </c>
      <c r="AX11" s="1240"/>
      <c r="AY11" s="1241"/>
      <c r="AZ11" s="1075">
        <f t="shared" si="2"/>
        <v>0</v>
      </c>
      <c r="BA11" s="1061">
        <f t="shared" si="3"/>
        <v>125</v>
      </c>
    </row>
    <row r="12" spans="1:53" s="660" customFormat="1" ht="15" thickBot="1">
      <c r="A12" s="1201" t="s">
        <v>10</v>
      </c>
      <c r="B12" s="1045">
        <f aca="true" t="shared" si="4" ref="B12:AG12">SUM(B5:B11)</f>
        <v>3046743</v>
      </c>
      <c r="C12" s="1046">
        <f t="shared" si="4"/>
        <v>2933029</v>
      </c>
      <c r="D12" s="1045">
        <f t="shared" si="4"/>
        <v>142855</v>
      </c>
      <c r="E12" s="1046">
        <f t="shared" si="4"/>
        <v>251685</v>
      </c>
      <c r="F12" s="1045">
        <f t="shared" si="4"/>
        <v>458631</v>
      </c>
      <c r="G12" s="1046">
        <f t="shared" si="4"/>
        <v>0</v>
      </c>
      <c r="H12" s="1045">
        <f t="shared" si="4"/>
        <v>35313582</v>
      </c>
      <c r="I12" s="1046">
        <f t="shared" si="4"/>
        <v>34081343</v>
      </c>
      <c r="J12" s="1045">
        <f t="shared" si="4"/>
        <v>84283</v>
      </c>
      <c r="K12" s="1046">
        <f t="shared" si="4"/>
        <v>480656</v>
      </c>
      <c r="L12" s="1045">
        <f t="shared" si="4"/>
        <v>2629979</v>
      </c>
      <c r="M12" s="1046">
        <f t="shared" si="4"/>
        <v>3386399</v>
      </c>
      <c r="N12" s="1045">
        <f t="shared" si="4"/>
        <v>19995012</v>
      </c>
      <c r="O12" s="1046">
        <f t="shared" si="4"/>
        <v>9498768</v>
      </c>
      <c r="P12" s="1045">
        <f>SUM(P5:P11)</f>
        <v>115044</v>
      </c>
      <c r="Q12" s="1046">
        <f>SUM(Q5:Q11)</f>
        <v>377546</v>
      </c>
      <c r="R12" s="1045">
        <f t="shared" si="4"/>
        <v>1746126</v>
      </c>
      <c r="S12" s="1046">
        <f t="shared" si="4"/>
        <v>1885231</v>
      </c>
      <c r="T12" s="1045">
        <f t="shared" si="4"/>
        <v>724250</v>
      </c>
      <c r="U12" s="1046">
        <f t="shared" si="4"/>
        <v>568362</v>
      </c>
      <c r="V12" s="1045">
        <f t="shared" si="4"/>
        <v>50405031</v>
      </c>
      <c r="W12" s="1046">
        <f t="shared" si="4"/>
        <v>290350141</v>
      </c>
      <c r="X12" s="1045">
        <f t="shared" si="4"/>
        <v>22086962</v>
      </c>
      <c r="Y12" s="1046">
        <f t="shared" si="4"/>
        <v>31140726</v>
      </c>
      <c r="Z12" s="1045">
        <f t="shared" si="4"/>
        <v>215776</v>
      </c>
      <c r="AA12" s="1238">
        <f t="shared" si="4"/>
        <v>72162</v>
      </c>
      <c r="AB12" s="1045">
        <f t="shared" si="4"/>
        <v>2124406</v>
      </c>
      <c r="AC12" s="1046">
        <f t="shared" si="4"/>
        <v>3907759</v>
      </c>
      <c r="AD12" s="1045">
        <f t="shared" si="4"/>
        <v>11944119</v>
      </c>
      <c r="AE12" s="1046">
        <f t="shared" si="4"/>
        <v>15242248</v>
      </c>
      <c r="AF12" s="1045">
        <f t="shared" si="4"/>
        <v>4160176</v>
      </c>
      <c r="AG12" s="1046">
        <f t="shared" si="4"/>
        <v>5881275</v>
      </c>
      <c r="AH12" s="1045">
        <f aca="true" t="shared" si="5" ref="AH12:AU12">SUM(AH5:AH11)</f>
        <v>887009</v>
      </c>
      <c r="AI12" s="1046">
        <f t="shared" si="5"/>
        <v>3974582</v>
      </c>
      <c r="AJ12" s="1045">
        <f t="shared" si="5"/>
        <v>3021463</v>
      </c>
      <c r="AK12" s="1046">
        <f t="shared" si="5"/>
        <v>613805</v>
      </c>
      <c r="AL12" s="1045">
        <f t="shared" si="5"/>
        <v>0</v>
      </c>
      <c r="AM12" s="1046">
        <f t="shared" si="5"/>
        <v>0</v>
      </c>
      <c r="AN12" s="1045">
        <f t="shared" si="5"/>
        <v>3851828</v>
      </c>
      <c r="AO12" s="1046">
        <f t="shared" si="5"/>
        <v>7408104</v>
      </c>
      <c r="AP12" s="1045">
        <f t="shared" si="5"/>
        <v>4341229</v>
      </c>
      <c r="AQ12" s="1046">
        <f t="shared" si="5"/>
        <v>3708663</v>
      </c>
      <c r="AR12" s="1045">
        <f t="shared" si="5"/>
        <v>666509</v>
      </c>
      <c r="AS12" s="1046">
        <f t="shared" si="5"/>
        <v>1482888</v>
      </c>
      <c r="AT12" s="1045">
        <f t="shared" si="5"/>
        <v>155191</v>
      </c>
      <c r="AU12" s="1046">
        <f t="shared" si="5"/>
        <v>493205</v>
      </c>
      <c r="AV12" s="1047">
        <f t="shared" si="0"/>
        <v>166106842</v>
      </c>
      <c r="AW12" s="1239">
        <f t="shared" si="1"/>
        <v>414208364</v>
      </c>
      <c r="AX12" s="1051">
        <f>SUM(AX5:AX11)</f>
        <v>56300688</v>
      </c>
      <c r="AY12" s="1052">
        <f>SUM(AY5:AY11)</f>
        <v>0</v>
      </c>
      <c r="AZ12" s="1047">
        <f t="shared" si="2"/>
        <v>222407530</v>
      </c>
      <c r="BA12" s="1239">
        <f t="shared" si="3"/>
        <v>414208364</v>
      </c>
    </row>
    <row r="13" spans="1:53" ht="15" thickBot="1">
      <c r="A13" s="524" t="s">
        <v>11</v>
      </c>
      <c r="B13" s="1250"/>
      <c r="C13" s="1251"/>
      <c r="D13" s="1252"/>
      <c r="E13" s="1253"/>
      <c r="F13" s="1252"/>
      <c r="G13" s="1253"/>
      <c r="H13" s="1252"/>
      <c r="I13" s="1253"/>
      <c r="J13" s="1254"/>
      <c r="K13" s="1255"/>
      <c r="L13" s="1252"/>
      <c r="M13" s="1253"/>
      <c r="N13" s="1252"/>
      <c r="O13" s="1253"/>
      <c r="P13" s="1252"/>
      <c r="Q13" s="1253"/>
      <c r="R13" s="1252"/>
      <c r="S13" s="1253"/>
      <c r="T13" s="1252"/>
      <c r="U13" s="1253"/>
      <c r="V13" s="1252"/>
      <c r="W13" s="1253"/>
      <c r="X13" s="1252"/>
      <c r="Y13" s="1253"/>
      <c r="Z13" s="1252"/>
      <c r="AA13" s="1256"/>
      <c r="AB13" s="1257"/>
      <c r="AC13" s="1258"/>
      <c r="AD13" s="1252"/>
      <c r="AE13" s="1253"/>
      <c r="AF13" s="1252"/>
      <c r="AG13" s="1253"/>
      <c r="AH13" s="1252"/>
      <c r="AI13" s="1253"/>
      <c r="AJ13" s="1252"/>
      <c r="AK13" s="1253"/>
      <c r="AL13" s="1254"/>
      <c r="AM13" s="1255"/>
      <c r="AN13" s="1259"/>
      <c r="AO13" s="1260"/>
      <c r="AP13" s="1261"/>
      <c r="AQ13" s="1262"/>
      <c r="AR13" s="1263">
        <v>0</v>
      </c>
      <c r="AS13" s="1264"/>
      <c r="AT13" s="1252"/>
      <c r="AU13" s="1253"/>
      <c r="AV13" s="1265">
        <f t="shared" si="0"/>
        <v>0</v>
      </c>
      <c r="AW13" s="1266">
        <f t="shared" si="1"/>
        <v>0</v>
      </c>
      <c r="AX13" s="1263"/>
      <c r="AY13" s="1264"/>
      <c r="AZ13" s="1265">
        <f t="shared" si="2"/>
        <v>0</v>
      </c>
      <c r="BA13" s="1266">
        <f t="shared" si="3"/>
        <v>0</v>
      </c>
    </row>
    <row r="14" spans="1:53" s="660" customFormat="1" ht="15" thickBot="1">
      <c r="A14" s="1201" t="s">
        <v>12</v>
      </c>
      <c r="B14" s="1045">
        <f aca="true" t="shared" si="6" ref="B14:AG14">B12+B13</f>
        <v>3046743</v>
      </c>
      <c r="C14" s="1046">
        <f t="shared" si="6"/>
        <v>2933029</v>
      </c>
      <c r="D14" s="1045">
        <f t="shared" si="6"/>
        <v>142855</v>
      </c>
      <c r="E14" s="1046">
        <f t="shared" si="6"/>
        <v>251685</v>
      </c>
      <c r="F14" s="1045">
        <f t="shared" si="6"/>
        <v>458631</v>
      </c>
      <c r="G14" s="1046">
        <f t="shared" si="6"/>
        <v>0</v>
      </c>
      <c r="H14" s="1045">
        <f t="shared" si="6"/>
        <v>35313582</v>
      </c>
      <c r="I14" s="1046">
        <f t="shared" si="6"/>
        <v>34081343</v>
      </c>
      <c r="J14" s="1045">
        <f t="shared" si="6"/>
        <v>84283</v>
      </c>
      <c r="K14" s="1046">
        <f t="shared" si="6"/>
        <v>480656</v>
      </c>
      <c r="L14" s="1045">
        <f t="shared" si="6"/>
        <v>2629979</v>
      </c>
      <c r="M14" s="1046">
        <f t="shared" si="6"/>
        <v>3386399</v>
      </c>
      <c r="N14" s="1045">
        <f t="shared" si="6"/>
        <v>19995012</v>
      </c>
      <c r="O14" s="1046">
        <f t="shared" si="6"/>
        <v>9498768</v>
      </c>
      <c r="P14" s="1045">
        <f>P12+P13</f>
        <v>115044</v>
      </c>
      <c r="Q14" s="1046">
        <f>Q12+Q13</f>
        <v>377546</v>
      </c>
      <c r="R14" s="1045">
        <f t="shared" si="6"/>
        <v>1746126</v>
      </c>
      <c r="S14" s="1046">
        <f t="shared" si="6"/>
        <v>1885231</v>
      </c>
      <c r="T14" s="1045">
        <f t="shared" si="6"/>
        <v>724250</v>
      </c>
      <c r="U14" s="1046">
        <f t="shared" si="6"/>
        <v>568362</v>
      </c>
      <c r="V14" s="1045">
        <f t="shared" si="6"/>
        <v>50405031</v>
      </c>
      <c r="W14" s="1046">
        <f t="shared" si="6"/>
        <v>290350141</v>
      </c>
      <c r="X14" s="1045">
        <f t="shared" si="6"/>
        <v>22086962</v>
      </c>
      <c r="Y14" s="1046">
        <f t="shared" si="6"/>
        <v>31140726</v>
      </c>
      <c r="Z14" s="1045">
        <f t="shared" si="6"/>
        <v>215776</v>
      </c>
      <c r="AA14" s="1238">
        <f t="shared" si="6"/>
        <v>72162</v>
      </c>
      <c r="AB14" s="1045">
        <f t="shared" si="6"/>
        <v>2124406</v>
      </c>
      <c r="AC14" s="1046">
        <f t="shared" si="6"/>
        <v>3907759</v>
      </c>
      <c r="AD14" s="1045">
        <f t="shared" si="6"/>
        <v>11944119</v>
      </c>
      <c r="AE14" s="1046">
        <f t="shared" si="6"/>
        <v>15242248</v>
      </c>
      <c r="AF14" s="1045">
        <f t="shared" si="6"/>
        <v>4160176</v>
      </c>
      <c r="AG14" s="1046">
        <f t="shared" si="6"/>
        <v>5881275</v>
      </c>
      <c r="AH14" s="1045">
        <f aca="true" t="shared" si="7" ref="AH14:AU14">AH12+AH13</f>
        <v>887009</v>
      </c>
      <c r="AI14" s="1046">
        <f t="shared" si="7"/>
        <v>3974582</v>
      </c>
      <c r="AJ14" s="1045">
        <f t="shared" si="7"/>
        <v>3021463</v>
      </c>
      <c r="AK14" s="1046">
        <f t="shared" si="7"/>
        <v>613805</v>
      </c>
      <c r="AL14" s="1045">
        <f t="shared" si="7"/>
        <v>0</v>
      </c>
      <c r="AM14" s="1046">
        <f t="shared" si="7"/>
        <v>0</v>
      </c>
      <c r="AN14" s="1045">
        <f t="shared" si="7"/>
        <v>3851828</v>
      </c>
      <c r="AO14" s="1046">
        <f t="shared" si="7"/>
        <v>7408104</v>
      </c>
      <c r="AP14" s="1045">
        <f t="shared" si="7"/>
        <v>4341229</v>
      </c>
      <c r="AQ14" s="1046">
        <f t="shared" si="7"/>
        <v>3708663</v>
      </c>
      <c r="AR14" s="1045">
        <f t="shared" si="7"/>
        <v>666509</v>
      </c>
      <c r="AS14" s="1046">
        <f t="shared" si="7"/>
        <v>1482888</v>
      </c>
      <c r="AT14" s="1045">
        <f t="shared" si="7"/>
        <v>155191</v>
      </c>
      <c r="AU14" s="1046">
        <f t="shared" si="7"/>
        <v>493205</v>
      </c>
      <c r="AV14" s="1047">
        <f t="shared" si="0"/>
        <v>166106842</v>
      </c>
      <c r="AW14" s="1239">
        <f t="shared" si="1"/>
        <v>414208364</v>
      </c>
      <c r="AX14" s="1051">
        <f>AX12+AX13</f>
        <v>56300688</v>
      </c>
      <c r="AY14" s="1052">
        <f>AY12+AY13</f>
        <v>0</v>
      </c>
      <c r="AZ14" s="1047">
        <f t="shared" si="2"/>
        <v>222407530</v>
      </c>
      <c r="BA14" s="1239">
        <f t="shared" si="3"/>
        <v>414208364</v>
      </c>
    </row>
  </sheetData>
  <sheetProtection/>
  <mergeCells count="29">
    <mergeCell ref="AP3:AQ3"/>
    <mergeCell ref="AR3:AS3"/>
    <mergeCell ref="AB3:AC3"/>
    <mergeCell ref="AD3:AE3"/>
    <mergeCell ref="AF3:AG3"/>
    <mergeCell ref="AL3:AM3"/>
    <mergeCell ref="AJ3:AK3"/>
    <mergeCell ref="AH3:AI3"/>
    <mergeCell ref="T3:U3"/>
    <mergeCell ref="V3:W3"/>
    <mergeCell ref="X3:Y3"/>
    <mergeCell ref="Z3:AA3"/>
    <mergeCell ref="AN3:AO3"/>
    <mergeCell ref="A1:AY1"/>
    <mergeCell ref="A2:AY2"/>
    <mergeCell ref="A3:A4"/>
    <mergeCell ref="N3:O3"/>
    <mergeCell ref="AZ3:BA3"/>
    <mergeCell ref="AX3:AY3"/>
    <mergeCell ref="AT3:AU3"/>
    <mergeCell ref="AV3:AW3"/>
    <mergeCell ref="B3:C3"/>
    <mergeCell ref="D3:E3"/>
    <mergeCell ref="F3:G3"/>
    <mergeCell ref="H3:I3"/>
    <mergeCell ref="J3:K3"/>
    <mergeCell ref="L3:M3"/>
    <mergeCell ref="P3:Q3"/>
    <mergeCell ref="R3:S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43"/>
  <sheetViews>
    <sheetView tabSelected="1" zoomScalePageLayoutView="0" workbookViewId="0" topLeftCell="A28">
      <pane xSplit="1" topLeftCell="AP1" activePane="topRight" state="frozen"/>
      <selection pane="topLeft" activeCell="A1" sqref="A1"/>
      <selection pane="topRight" activeCell="AR30" sqref="AR30"/>
    </sheetView>
  </sheetViews>
  <sheetFormatPr defaultColWidth="9.140625" defaultRowHeight="15"/>
  <cols>
    <col min="1" max="1" width="27.8515625" style="44" bestFit="1" customWidth="1"/>
    <col min="2" max="39" width="12.8515625" style="44" bestFit="1" customWidth="1"/>
    <col min="40" max="41" width="12.8515625" style="254" bestFit="1" customWidth="1"/>
    <col min="42" max="53" width="12.8515625" style="44" bestFit="1" customWidth="1"/>
    <col min="54" max="16384" width="9.140625" style="44" customWidth="1"/>
  </cols>
  <sheetData>
    <row r="1" spans="1:51" ht="14.25">
      <c r="A1" s="1688" t="s">
        <v>177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8"/>
      <c r="Y1" s="1688"/>
      <c r="Z1" s="1688"/>
      <c r="AA1" s="1688"/>
      <c r="AB1" s="1688"/>
      <c r="AC1" s="1688"/>
      <c r="AD1" s="1688"/>
      <c r="AE1" s="1688"/>
      <c r="AF1" s="1688"/>
      <c r="AG1" s="1688"/>
      <c r="AH1" s="1688"/>
      <c r="AI1" s="1688"/>
      <c r="AJ1" s="1688"/>
      <c r="AK1" s="1688"/>
      <c r="AL1" s="1688"/>
      <c r="AM1" s="1688"/>
      <c r="AN1" s="1688"/>
      <c r="AO1" s="1688"/>
      <c r="AP1" s="1688"/>
      <c r="AQ1" s="1688"/>
      <c r="AR1" s="1688"/>
      <c r="AS1" s="1688"/>
      <c r="AT1" s="1688"/>
      <c r="AU1" s="1688"/>
      <c r="AV1" s="1688"/>
      <c r="AW1" s="1688"/>
      <c r="AX1" s="1688"/>
      <c r="AY1" s="1688"/>
    </row>
    <row r="2" spans="1:51" ht="15" thickBot="1">
      <c r="A2" s="1689" t="s">
        <v>178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  <c r="AU2" s="1689"/>
      <c r="AV2" s="1689"/>
      <c r="AW2" s="1689"/>
      <c r="AX2" s="1689"/>
      <c r="AY2" s="1689"/>
    </row>
    <row r="3" spans="1:53" s="1281" customFormat="1" ht="38.25" customHeight="1" thickBot="1">
      <c r="A3" s="1690" t="s">
        <v>0</v>
      </c>
      <c r="B3" s="1694" t="s">
        <v>184</v>
      </c>
      <c r="C3" s="1695"/>
      <c r="D3" s="1694" t="s">
        <v>185</v>
      </c>
      <c r="E3" s="1695"/>
      <c r="F3" s="1696" t="s">
        <v>186</v>
      </c>
      <c r="G3" s="1697"/>
      <c r="H3" s="1696" t="s">
        <v>187</v>
      </c>
      <c r="I3" s="1697"/>
      <c r="J3" s="1696" t="s">
        <v>188</v>
      </c>
      <c r="K3" s="1697"/>
      <c r="L3" s="1696" t="s">
        <v>189</v>
      </c>
      <c r="M3" s="1697"/>
      <c r="N3" s="1696" t="s">
        <v>527</v>
      </c>
      <c r="O3" s="1697"/>
      <c r="P3" s="1696" t="s">
        <v>190</v>
      </c>
      <c r="Q3" s="1697"/>
      <c r="R3" s="1696" t="s">
        <v>191</v>
      </c>
      <c r="S3" s="1697"/>
      <c r="T3" s="1696" t="s">
        <v>192</v>
      </c>
      <c r="U3" s="1697"/>
      <c r="V3" s="1696" t="s">
        <v>193</v>
      </c>
      <c r="W3" s="1697"/>
      <c r="X3" s="1696" t="s">
        <v>194</v>
      </c>
      <c r="Y3" s="1697"/>
      <c r="Z3" s="1696" t="s">
        <v>195</v>
      </c>
      <c r="AA3" s="1697"/>
      <c r="AB3" s="1696" t="s">
        <v>196</v>
      </c>
      <c r="AC3" s="1697"/>
      <c r="AD3" s="1692" t="s">
        <v>197</v>
      </c>
      <c r="AE3" s="1693"/>
      <c r="AF3" s="1696" t="s">
        <v>198</v>
      </c>
      <c r="AG3" s="1697"/>
      <c r="AH3" s="1696" t="s">
        <v>199</v>
      </c>
      <c r="AI3" s="1697"/>
      <c r="AJ3" s="1696" t="s">
        <v>200</v>
      </c>
      <c r="AK3" s="1697"/>
      <c r="AL3" s="1692" t="s">
        <v>201</v>
      </c>
      <c r="AM3" s="1693"/>
      <c r="AN3" s="1692" t="s">
        <v>202</v>
      </c>
      <c r="AO3" s="1693"/>
      <c r="AP3" s="1696" t="s">
        <v>203</v>
      </c>
      <c r="AQ3" s="1697"/>
      <c r="AR3" s="1696" t="s">
        <v>204</v>
      </c>
      <c r="AS3" s="1697"/>
      <c r="AT3" s="1696" t="s">
        <v>205</v>
      </c>
      <c r="AU3" s="1697"/>
      <c r="AV3" s="1696" t="s">
        <v>1</v>
      </c>
      <c r="AW3" s="1697"/>
      <c r="AX3" s="1692" t="s">
        <v>206</v>
      </c>
      <c r="AY3" s="1693"/>
      <c r="AZ3" s="1692" t="s">
        <v>2</v>
      </c>
      <c r="BA3" s="1693"/>
    </row>
    <row r="4" spans="1:53" s="766" customFormat="1" ht="15" customHeight="1" thickBot="1">
      <c r="A4" s="1691"/>
      <c r="B4" s="771" t="s">
        <v>277</v>
      </c>
      <c r="C4" s="772" t="s">
        <v>446</v>
      </c>
      <c r="D4" s="771" t="s">
        <v>277</v>
      </c>
      <c r="E4" s="772" t="s">
        <v>446</v>
      </c>
      <c r="F4" s="771" t="s">
        <v>277</v>
      </c>
      <c r="G4" s="772" t="s">
        <v>446</v>
      </c>
      <c r="H4" s="771" t="s">
        <v>277</v>
      </c>
      <c r="I4" s="772" t="s">
        <v>446</v>
      </c>
      <c r="J4" s="771" t="s">
        <v>277</v>
      </c>
      <c r="K4" s="772" t="s">
        <v>446</v>
      </c>
      <c r="L4" s="781" t="s">
        <v>277</v>
      </c>
      <c r="M4" s="782" t="s">
        <v>446</v>
      </c>
      <c r="N4" s="781" t="s">
        <v>277</v>
      </c>
      <c r="O4" s="782" t="s">
        <v>446</v>
      </c>
      <c r="P4" s="781" t="s">
        <v>277</v>
      </c>
      <c r="Q4" s="782" t="s">
        <v>446</v>
      </c>
      <c r="R4" s="781" t="s">
        <v>277</v>
      </c>
      <c r="S4" s="782" t="s">
        <v>446</v>
      </c>
      <c r="T4" s="781" t="s">
        <v>277</v>
      </c>
      <c r="U4" s="782" t="s">
        <v>446</v>
      </c>
      <c r="V4" s="781" t="s">
        <v>277</v>
      </c>
      <c r="W4" s="782" t="s">
        <v>446</v>
      </c>
      <c r="X4" s="781" t="s">
        <v>277</v>
      </c>
      <c r="Y4" s="782" t="s">
        <v>446</v>
      </c>
      <c r="Z4" s="781" t="s">
        <v>277</v>
      </c>
      <c r="AA4" s="782" t="s">
        <v>446</v>
      </c>
      <c r="AB4" s="781" t="s">
        <v>277</v>
      </c>
      <c r="AC4" s="782" t="s">
        <v>446</v>
      </c>
      <c r="AD4" s="781" t="s">
        <v>277</v>
      </c>
      <c r="AE4" s="782" t="s">
        <v>446</v>
      </c>
      <c r="AF4" s="781" t="s">
        <v>277</v>
      </c>
      <c r="AG4" s="782" t="s">
        <v>446</v>
      </c>
      <c r="AH4" s="781" t="s">
        <v>277</v>
      </c>
      <c r="AI4" s="782" t="s">
        <v>446</v>
      </c>
      <c r="AJ4" s="781" t="s">
        <v>277</v>
      </c>
      <c r="AK4" s="782" t="s">
        <v>446</v>
      </c>
      <c r="AL4" s="781" t="s">
        <v>277</v>
      </c>
      <c r="AM4" s="782" t="s">
        <v>446</v>
      </c>
      <c r="AN4" s="781" t="s">
        <v>277</v>
      </c>
      <c r="AO4" s="782" t="s">
        <v>446</v>
      </c>
      <c r="AP4" s="781" t="s">
        <v>277</v>
      </c>
      <c r="AQ4" s="782" t="s">
        <v>446</v>
      </c>
      <c r="AR4" s="781" t="s">
        <v>277</v>
      </c>
      <c r="AS4" s="782" t="s">
        <v>446</v>
      </c>
      <c r="AT4" s="781" t="s">
        <v>277</v>
      </c>
      <c r="AU4" s="782" t="s">
        <v>446</v>
      </c>
      <c r="AV4" s="781" t="s">
        <v>277</v>
      </c>
      <c r="AW4" s="782" t="s">
        <v>446</v>
      </c>
      <c r="AX4" s="781" t="s">
        <v>277</v>
      </c>
      <c r="AY4" s="782" t="s">
        <v>446</v>
      </c>
      <c r="AZ4" s="781" t="s">
        <v>277</v>
      </c>
      <c r="BA4" s="782" t="s">
        <v>446</v>
      </c>
    </row>
    <row r="5" spans="1:53" ht="28.5">
      <c r="A5" s="307" t="s">
        <v>142</v>
      </c>
      <c r="B5" s="242">
        <v>1924912</v>
      </c>
      <c r="C5" s="498">
        <v>1983040</v>
      </c>
      <c r="D5" s="774">
        <v>28456</v>
      </c>
      <c r="E5" s="775">
        <v>29959</v>
      </c>
      <c r="F5" s="774">
        <v>1218037</v>
      </c>
      <c r="G5" s="775"/>
      <c r="H5" s="774">
        <v>4800976</v>
      </c>
      <c r="I5" s="775">
        <v>4209084</v>
      </c>
      <c r="J5" s="774">
        <v>1944942</v>
      </c>
      <c r="K5" s="775">
        <v>870604</v>
      </c>
      <c r="L5" s="774">
        <v>1441146</v>
      </c>
      <c r="M5" s="775">
        <v>1549679</v>
      </c>
      <c r="N5" s="774">
        <v>3123057</v>
      </c>
      <c r="O5" s="775">
        <v>2084973</v>
      </c>
      <c r="P5" s="774">
        <v>155434</v>
      </c>
      <c r="Q5" s="775">
        <v>229654</v>
      </c>
      <c r="R5" s="774">
        <v>1087537</v>
      </c>
      <c r="S5" s="775">
        <v>1516129</v>
      </c>
      <c r="T5" s="774">
        <v>1382681</v>
      </c>
      <c r="U5" s="775">
        <v>1133322</v>
      </c>
      <c r="V5" s="774">
        <v>1269037</v>
      </c>
      <c r="W5" s="775">
        <v>11913888</v>
      </c>
      <c r="X5" s="773">
        <v>10770375</v>
      </c>
      <c r="Y5" s="775">
        <v>19887091</v>
      </c>
      <c r="Z5" s="774">
        <v>1042361</v>
      </c>
      <c r="AA5" s="775">
        <v>1202998</v>
      </c>
      <c r="AB5" s="774">
        <v>1416896</v>
      </c>
      <c r="AC5" s="775">
        <v>894592.49</v>
      </c>
      <c r="AD5" s="774">
        <v>3872254</v>
      </c>
      <c r="AE5" s="775">
        <v>4600795</v>
      </c>
      <c r="AF5" s="774">
        <v>4402208</v>
      </c>
      <c r="AG5" s="775">
        <v>4690114</v>
      </c>
      <c r="AH5" s="774">
        <v>1530461</v>
      </c>
      <c r="AI5" s="775">
        <v>719260</v>
      </c>
      <c r="AJ5" s="774">
        <v>1497218</v>
      </c>
      <c r="AK5" s="775">
        <v>2102938</v>
      </c>
      <c r="AL5" s="774"/>
      <c r="AM5" s="775"/>
      <c r="AN5" s="776">
        <v>9984974</v>
      </c>
      <c r="AO5" s="777">
        <v>14626523</v>
      </c>
      <c r="AP5" s="774">
        <v>1118219</v>
      </c>
      <c r="AQ5" s="775">
        <v>885669</v>
      </c>
      <c r="AR5" s="774">
        <v>1001016</v>
      </c>
      <c r="AS5" s="775">
        <v>879472</v>
      </c>
      <c r="AT5" s="774">
        <v>930700</v>
      </c>
      <c r="AU5" s="775">
        <v>690312</v>
      </c>
      <c r="AV5" s="778">
        <f aca="true" t="shared" si="0" ref="AV5:AV24">SUM(B5+D5+F5+H5+J5+L5+N5+P5+R5+T5+V5+X5+Z5+AB5+AD5+AF5+AH5+AJ5+AL5+AN5+AP5+AR5+AT5)</f>
        <v>55942897</v>
      </c>
      <c r="AW5" s="779">
        <f aca="true" t="shared" si="1" ref="AW5:AW24">SUM(C5+E5+G5+I5+K5+M5+O5+Q5+S5+U5+W5+Y5+AA5+AC5+AE5+AG5+AI5+AK5+AM5+AO5+AQ5+AS5+AU5)</f>
        <v>76700096.49000001</v>
      </c>
      <c r="AX5" s="774">
        <v>26605954</v>
      </c>
      <c r="AY5" s="775"/>
      <c r="AZ5" s="778">
        <f aca="true" t="shared" si="2" ref="AZ5:AZ24">AV5+AX5</f>
        <v>82548851</v>
      </c>
      <c r="BA5" s="779">
        <f aca="true" t="shared" si="3" ref="BA5:BA24">AW5+AY5</f>
        <v>76700096.49000001</v>
      </c>
    </row>
    <row r="6" spans="1:53" ht="14.25">
      <c r="A6" s="308" t="s">
        <v>143</v>
      </c>
      <c r="B6" s="243"/>
      <c r="C6" s="499"/>
      <c r="D6" s="22"/>
      <c r="E6" s="26"/>
      <c r="F6" s="22"/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2"/>
      <c r="S6" s="26"/>
      <c r="T6" s="22"/>
      <c r="U6" s="26"/>
      <c r="V6" s="22"/>
      <c r="W6" s="26"/>
      <c r="X6" s="25"/>
      <c r="Y6" s="26"/>
      <c r="Z6" s="27"/>
      <c r="AA6" s="28"/>
      <c r="AB6" s="22"/>
      <c r="AC6" s="26"/>
      <c r="AD6" s="22"/>
      <c r="AE6" s="26"/>
      <c r="AF6" s="22"/>
      <c r="AG6" s="26"/>
      <c r="AH6" s="22"/>
      <c r="AI6" s="26"/>
      <c r="AJ6" s="22"/>
      <c r="AK6" s="26"/>
      <c r="AL6" s="22"/>
      <c r="AM6" s="26"/>
      <c r="AN6" s="312"/>
      <c r="AO6" s="316"/>
      <c r="AP6" s="30"/>
      <c r="AQ6" s="31"/>
      <c r="AR6" s="32"/>
      <c r="AS6" s="33"/>
      <c r="AT6" s="22"/>
      <c r="AU6" s="26"/>
      <c r="AV6" s="16">
        <f t="shared" si="0"/>
        <v>0</v>
      </c>
      <c r="AW6" s="497">
        <f t="shared" si="1"/>
        <v>0</v>
      </c>
      <c r="AX6" s="32"/>
      <c r="AY6" s="33"/>
      <c r="AZ6" s="16">
        <f t="shared" si="2"/>
        <v>0</v>
      </c>
      <c r="BA6" s="497">
        <f t="shared" si="3"/>
        <v>0</v>
      </c>
    </row>
    <row r="7" spans="1:53" ht="28.5">
      <c r="A7" s="308" t="s">
        <v>144</v>
      </c>
      <c r="B7" s="243">
        <v>1607591</v>
      </c>
      <c r="C7" s="499">
        <v>1768600</v>
      </c>
      <c r="D7" s="22">
        <v>41816</v>
      </c>
      <c r="E7" s="26">
        <v>45693</v>
      </c>
      <c r="F7" s="22">
        <v>501521</v>
      </c>
      <c r="G7" s="26"/>
      <c r="H7" s="22">
        <v>6202823</v>
      </c>
      <c r="I7" s="26">
        <v>5881475</v>
      </c>
      <c r="J7" s="22">
        <v>219743</v>
      </c>
      <c r="K7" s="26">
        <v>249098</v>
      </c>
      <c r="L7" s="22">
        <v>673901</v>
      </c>
      <c r="M7" s="26">
        <v>846822</v>
      </c>
      <c r="N7" s="22">
        <v>568284</v>
      </c>
      <c r="O7" s="26">
        <v>404782</v>
      </c>
      <c r="P7" s="22">
        <v>661304</v>
      </c>
      <c r="Q7" s="26">
        <v>487184</v>
      </c>
      <c r="R7" s="22">
        <v>684504</v>
      </c>
      <c r="S7" s="26">
        <v>733146</v>
      </c>
      <c r="T7" s="22">
        <v>185462</v>
      </c>
      <c r="U7" s="26">
        <v>181727</v>
      </c>
      <c r="V7" s="22">
        <v>3049025</v>
      </c>
      <c r="W7" s="26">
        <v>3602546</v>
      </c>
      <c r="X7" s="25">
        <v>4274256</v>
      </c>
      <c r="Y7" s="26">
        <v>4504414</v>
      </c>
      <c r="Z7" s="27">
        <v>402317</v>
      </c>
      <c r="AA7" s="28">
        <v>412279</v>
      </c>
      <c r="AB7" s="22">
        <v>422304</v>
      </c>
      <c r="AC7" s="26">
        <v>462168.25</v>
      </c>
      <c r="AD7" s="22">
        <v>1678660</v>
      </c>
      <c r="AE7" s="26">
        <v>2051304</v>
      </c>
      <c r="AF7" s="22">
        <v>1643962</v>
      </c>
      <c r="AG7" s="26">
        <v>1733111</v>
      </c>
      <c r="AH7" s="22">
        <v>856670</v>
      </c>
      <c r="AI7" s="26">
        <v>944683</v>
      </c>
      <c r="AJ7" s="22">
        <v>915613</v>
      </c>
      <c r="AK7" s="26">
        <v>846267</v>
      </c>
      <c r="AL7" s="22"/>
      <c r="AM7" s="26"/>
      <c r="AN7" s="313">
        <v>4041907</v>
      </c>
      <c r="AO7" s="317">
        <v>4665594</v>
      </c>
      <c r="AP7" s="30">
        <v>205465</v>
      </c>
      <c r="AQ7" s="31">
        <v>219335</v>
      </c>
      <c r="AR7" s="32">
        <v>318535</v>
      </c>
      <c r="AS7" s="33">
        <v>358748</v>
      </c>
      <c r="AT7" s="22">
        <v>1382048</v>
      </c>
      <c r="AU7" s="26">
        <v>1320823</v>
      </c>
      <c r="AV7" s="16">
        <f t="shared" si="0"/>
        <v>30537711</v>
      </c>
      <c r="AW7" s="497">
        <f t="shared" si="1"/>
        <v>31719799.25</v>
      </c>
      <c r="AX7" s="32">
        <v>373753</v>
      </c>
      <c r="AY7" s="33"/>
      <c r="AZ7" s="16">
        <f t="shared" si="2"/>
        <v>30911464</v>
      </c>
      <c r="BA7" s="497">
        <f t="shared" si="3"/>
        <v>31719799.25</v>
      </c>
    </row>
    <row r="8" spans="1:53" ht="28.5">
      <c r="A8" s="308" t="s">
        <v>145</v>
      </c>
      <c r="B8" s="243">
        <v>537130</v>
      </c>
      <c r="C8" s="499">
        <v>65438</v>
      </c>
      <c r="D8" s="22">
        <v>9661</v>
      </c>
      <c r="E8" s="26">
        <v>389</v>
      </c>
      <c r="F8" s="22">
        <v>34612</v>
      </c>
      <c r="G8" s="26"/>
      <c r="H8" s="22">
        <v>109556</v>
      </c>
      <c r="I8" s="26">
        <v>2635490</v>
      </c>
      <c r="J8" s="22">
        <v>48148</v>
      </c>
      <c r="K8" s="26">
        <v>110596</v>
      </c>
      <c r="L8" s="22">
        <v>105569</v>
      </c>
      <c r="M8" s="26">
        <v>157689</v>
      </c>
      <c r="N8" s="22">
        <v>68275</v>
      </c>
      <c r="O8" s="26">
        <v>105787</v>
      </c>
      <c r="P8" s="22">
        <v>175395</v>
      </c>
      <c r="Q8" s="26">
        <v>229266</v>
      </c>
      <c r="R8" s="22">
        <v>95300</v>
      </c>
      <c r="S8" s="26">
        <v>315733</v>
      </c>
      <c r="T8" s="22">
        <v>29464</v>
      </c>
      <c r="U8" s="26">
        <v>23429</v>
      </c>
      <c r="V8" s="22">
        <v>1169792</v>
      </c>
      <c r="W8" s="26">
        <v>1084036</v>
      </c>
      <c r="X8" s="25">
        <v>3124457</v>
      </c>
      <c r="Y8" s="26">
        <v>2685156</v>
      </c>
      <c r="Z8" s="27">
        <v>54251</v>
      </c>
      <c r="AA8" s="28">
        <v>48321</v>
      </c>
      <c r="AB8" s="22">
        <v>14366</v>
      </c>
      <c r="AC8" s="26">
        <v>9268.11</v>
      </c>
      <c r="AD8" s="22">
        <v>1999</v>
      </c>
      <c r="AE8" s="26">
        <v>32633</v>
      </c>
      <c r="AF8" s="22">
        <v>641513</v>
      </c>
      <c r="AG8" s="26">
        <v>384459</v>
      </c>
      <c r="AH8" s="22">
        <v>1183</v>
      </c>
      <c r="AI8" s="26">
        <v>22175</v>
      </c>
      <c r="AJ8" s="22">
        <v>329319</v>
      </c>
      <c r="AK8" s="26">
        <v>536801</v>
      </c>
      <c r="AL8" s="22"/>
      <c r="AM8" s="26"/>
      <c r="AN8" s="313">
        <v>964928</v>
      </c>
      <c r="AO8" s="317">
        <v>1687512</v>
      </c>
      <c r="AP8" s="30">
        <v>239570</v>
      </c>
      <c r="AQ8" s="31">
        <v>323839</v>
      </c>
      <c r="AR8" s="32">
        <v>51067</v>
      </c>
      <c r="AS8" s="33">
        <v>157049</v>
      </c>
      <c r="AT8" s="22">
        <v>337091</v>
      </c>
      <c r="AU8" s="26">
        <v>368569</v>
      </c>
      <c r="AV8" s="16">
        <f t="shared" si="0"/>
        <v>8142646</v>
      </c>
      <c r="AW8" s="497">
        <f t="shared" si="1"/>
        <v>10983635.11</v>
      </c>
      <c r="AX8" s="32">
        <v>125994</v>
      </c>
      <c r="AY8" s="33"/>
      <c r="AZ8" s="16">
        <f t="shared" si="2"/>
        <v>8268640</v>
      </c>
      <c r="BA8" s="497">
        <f t="shared" si="3"/>
        <v>10983635.11</v>
      </c>
    </row>
    <row r="9" spans="1:53" ht="28.5">
      <c r="A9" s="308" t="s">
        <v>146</v>
      </c>
      <c r="B9" s="243">
        <v>-792</v>
      </c>
      <c r="C9" s="499"/>
      <c r="D9" s="22"/>
      <c r="E9" s="26">
        <v>6</v>
      </c>
      <c r="F9" s="22">
        <v>-21735</v>
      </c>
      <c r="G9" s="26"/>
      <c r="H9" s="22">
        <v>-563012</v>
      </c>
      <c r="I9" s="26">
        <v>-1446790</v>
      </c>
      <c r="J9" s="22">
        <v>-24834</v>
      </c>
      <c r="K9" s="26">
        <v>-40617</v>
      </c>
      <c r="L9" s="22"/>
      <c r="M9" s="26"/>
      <c r="N9" s="22">
        <v>-9307</v>
      </c>
      <c r="O9" s="26">
        <v>-6412</v>
      </c>
      <c r="P9" s="22">
        <v>-248859</v>
      </c>
      <c r="Q9" s="26">
        <v>-81880</v>
      </c>
      <c r="R9" s="22">
        <v>-4678</v>
      </c>
      <c r="S9" s="26"/>
      <c r="T9" s="22">
        <v>-9595</v>
      </c>
      <c r="U9" s="26">
        <v>-14358</v>
      </c>
      <c r="V9" s="22">
        <v>-28457</v>
      </c>
      <c r="W9" s="26">
        <v>-308462</v>
      </c>
      <c r="X9" s="25">
        <v>-900876</v>
      </c>
      <c r="Y9" s="26">
        <v>-546801</v>
      </c>
      <c r="Z9" s="27">
        <v>-21328</v>
      </c>
      <c r="AA9" s="28">
        <v>-31149</v>
      </c>
      <c r="AB9" s="22">
        <v>-6</v>
      </c>
      <c r="AC9" s="26">
        <v>-2.48</v>
      </c>
      <c r="AD9" s="22">
        <v>-6432</v>
      </c>
      <c r="AE9" s="26">
        <v>-104</v>
      </c>
      <c r="AF9" s="22">
        <v>-58440</v>
      </c>
      <c r="AG9" s="26">
        <v>-43984</v>
      </c>
      <c r="AH9" s="22">
        <v>-1055</v>
      </c>
      <c r="AI9" s="26"/>
      <c r="AJ9" s="22">
        <v>-119551</v>
      </c>
      <c r="AK9" s="26">
        <v>-179004</v>
      </c>
      <c r="AL9" s="22"/>
      <c r="AM9" s="26"/>
      <c r="AN9" s="313">
        <v>-62967</v>
      </c>
      <c r="AO9" s="317">
        <v>-1586116</v>
      </c>
      <c r="AP9" s="30">
        <v>-298695</v>
      </c>
      <c r="AQ9" s="31">
        <v>-312429</v>
      </c>
      <c r="AR9" s="32">
        <v>-24199</v>
      </c>
      <c r="AS9" s="33">
        <v>-10582</v>
      </c>
      <c r="AT9" s="22">
        <v>-134517</v>
      </c>
      <c r="AU9" s="26">
        <v>-44034</v>
      </c>
      <c r="AV9" s="16">
        <f t="shared" si="0"/>
        <v>-2539335</v>
      </c>
      <c r="AW9" s="497">
        <f t="shared" si="1"/>
        <v>-4652718.48</v>
      </c>
      <c r="AX9" s="32">
        <v>-66661</v>
      </c>
      <c r="AY9" s="33"/>
      <c r="AZ9" s="16">
        <f t="shared" si="2"/>
        <v>-2605996</v>
      </c>
      <c r="BA9" s="497">
        <f t="shared" si="3"/>
        <v>-4652718.48</v>
      </c>
    </row>
    <row r="10" spans="1:53" ht="42.75">
      <c r="A10" s="308" t="s">
        <v>147</v>
      </c>
      <c r="B10" s="242"/>
      <c r="C10" s="498"/>
      <c r="D10" s="38">
        <v>28901</v>
      </c>
      <c r="E10" s="41">
        <v>24202</v>
      </c>
      <c r="F10" s="38"/>
      <c r="G10" s="41"/>
      <c r="H10" s="38">
        <v>-64680</v>
      </c>
      <c r="I10" s="41">
        <v>-45556</v>
      </c>
      <c r="J10" s="38"/>
      <c r="K10" s="41"/>
      <c r="L10" s="38"/>
      <c r="M10" s="41"/>
      <c r="N10" s="38">
        <v>-33097</v>
      </c>
      <c r="O10" s="41">
        <v>-19967</v>
      </c>
      <c r="P10" s="38"/>
      <c r="Q10" s="41"/>
      <c r="R10" s="38">
        <v>-44250</v>
      </c>
      <c r="S10" s="41"/>
      <c r="T10" s="38"/>
      <c r="U10" s="41"/>
      <c r="V10" s="38">
        <v>-106468</v>
      </c>
      <c r="W10" s="41"/>
      <c r="X10" s="40">
        <v>-54790</v>
      </c>
      <c r="Y10" s="41">
        <v>-14279</v>
      </c>
      <c r="Z10" s="27">
        <v>29960</v>
      </c>
      <c r="AA10" s="28">
        <v>60591</v>
      </c>
      <c r="AB10" s="38">
        <v>64756</v>
      </c>
      <c r="AC10" s="41">
        <v>13802.65</v>
      </c>
      <c r="AD10" s="42"/>
      <c r="AE10" s="43"/>
      <c r="AF10" s="38">
        <v>24670</v>
      </c>
      <c r="AG10" s="41">
        <v>17004</v>
      </c>
      <c r="AH10" s="38"/>
      <c r="AI10" s="41">
        <v>-14255</v>
      </c>
      <c r="AJ10" s="38">
        <v>-5002</v>
      </c>
      <c r="AK10" s="41">
        <v>2313</v>
      </c>
      <c r="AL10" s="22"/>
      <c r="AM10" s="26"/>
      <c r="AN10" s="313">
        <v>112722</v>
      </c>
      <c r="AO10" s="317">
        <v>67929</v>
      </c>
      <c r="AP10" s="30">
        <v>-4800</v>
      </c>
      <c r="AQ10" s="31">
        <v>-757</v>
      </c>
      <c r="AR10" s="32"/>
      <c r="AS10" s="33"/>
      <c r="AT10" s="38"/>
      <c r="AU10" s="41">
        <v>145591</v>
      </c>
      <c r="AV10" s="16">
        <f t="shared" si="0"/>
        <v>-52078</v>
      </c>
      <c r="AW10" s="497">
        <f t="shared" si="1"/>
        <v>236618.65</v>
      </c>
      <c r="AX10" s="38"/>
      <c r="AY10" s="41"/>
      <c r="AZ10" s="16">
        <f t="shared" si="2"/>
        <v>-52078</v>
      </c>
      <c r="BA10" s="497">
        <f t="shared" si="3"/>
        <v>236618.65</v>
      </c>
    </row>
    <row r="11" spans="1:53" ht="14.25">
      <c r="A11" s="308" t="s">
        <v>148</v>
      </c>
      <c r="B11" s="243"/>
      <c r="C11" s="499"/>
      <c r="D11" s="22"/>
      <c r="E11" s="26"/>
      <c r="F11" s="22"/>
      <c r="G11" s="26"/>
      <c r="H11" s="22"/>
      <c r="I11" s="26">
        <v>912</v>
      </c>
      <c r="J11" s="22"/>
      <c r="K11" s="26"/>
      <c r="L11" s="22"/>
      <c r="M11" s="26"/>
      <c r="N11" s="22"/>
      <c r="O11" s="26"/>
      <c r="P11" s="22">
        <v>15151</v>
      </c>
      <c r="Q11" s="26">
        <v>235</v>
      </c>
      <c r="R11" s="22"/>
      <c r="S11" s="26"/>
      <c r="T11" s="22"/>
      <c r="U11" s="26"/>
      <c r="V11" s="22">
        <v>210799</v>
      </c>
      <c r="W11" s="26">
        <v>185634</v>
      </c>
      <c r="X11" s="25">
        <v>93100</v>
      </c>
      <c r="Y11" s="26">
        <v>9510</v>
      </c>
      <c r="Z11" s="22">
        <v>2477</v>
      </c>
      <c r="AA11" s="26">
        <f>68+14538</f>
        <v>14606</v>
      </c>
      <c r="AB11" s="22">
        <v>12552</v>
      </c>
      <c r="AC11" s="26">
        <v>12825.03</v>
      </c>
      <c r="AD11" s="22"/>
      <c r="AE11" s="26"/>
      <c r="AF11" s="22">
        <v>-50000</v>
      </c>
      <c r="AG11" s="26"/>
      <c r="AH11" s="22"/>
      <c r="AI11" s="26"/>
      <c r="AJ11" s="22"/>
      <c r="AK11" s="26"/>
      <c r="AL11" s="22"/>
      <c r="AM11" s="26"/>
      <c r="AN11" s="313">
        <v>135414</v>
      </c>
      <c r="AO11" s="317"/>
      <c r="AP11" s="30">
        <v>6951</v>
      </c>
      <c r="AQ11" s="31">
        <v>787</v>
      </c>
      <c r="AR11" s="32">
        <v>36</v>
      </c>
      <c r="AS11" s="33">
        <v>1404</v>
      </c>
      <c r="AT11" s="22"/>
      <c r="AU11" s="26">
        <v>1</v>
      </c>
      <c r="AV11" s="16">
        <f t="shared" si="0"/>
        <v>426480</v>
      </c>
      <c r="AW11" s="497">
        <f t="shared" si="1"/>
        <v>225914.03</v>
      </c>
      <c r="AX11" s="32"/>
      <c r="AY11" s="33"/>
      <c r="AZ11" s="16">
        <f t="shared" si="2"/>
        <v>426480</v>
      </c>
      <c r="BA11" s="497">
        <f t="shared" si="3"/>
        <v>225914.03</v>
      </c>
    </row>
    <row r="12" spans="1:53" s="766" customFormat="1" ht="14.25">
      <c r="A12" s="760" t="s">
        <v>426</v>
      </c>
      <c r="B12" s="767">
        <f aca="true" t="shared" si="4" ref="B12:AG12">SUM(B5:B11)</f>
        <v>4068841</v>
      </c>
      <c r="C12" s="768">
        <f t="shared" si="4"/>
        <v>3817078</v>
      </c>
      <c r="D12" s="767">
        <f t="shared" si="4"/>
        <v>108834</v>
      </c>
      <c r="E12" s="768">
        <f t="shared" si="4"/>
        <v>100249</v>
      </c>
      <c r="F12" s="767">
        <f t="shared" si="4"/>
        <v>1732435</v>
      </c>
      <c r="G12" s="768">
        <f t="shared" si="4"/>
        <v>0</v>
      </c>
      <c r="H12" s="767">
        <f t="shared" si="4"/>
        <v>10485663</v>
      </c>
      <c r="I12" s="768">
        <f t="shared" si="4"/>
        <v>11234615</v>
      </c>
      <c r="J12" s="767">
        <f t="shared" si="4"/>
        <v>2187999</v>
      </c>
      <c r="K12" s="768">
        <f t="shared" si="4"/>
        <v>1189681</v>
      </c>
      <c r="L12" s="767">
        <f t="shared" si="4"/>
        <v>2220616</v>
      </c>
      <c r="M12" s="768">
        <f t="shared" si="4"/>
        <v>2554190</v>
      </c>
      <c r="N12" s="767">
        <f t="shared" si="4"/>
        <v>3717212</v>
      </c>
      <c r="O12" s="768">
        <f t="shared" si="4"/>
        <v>2569163</v>
      </c>
      <c r="P12" s="767">
        <f t="shared" si="4"/>
        <v>758425</v>
      </c>
      <c r="Q12" s="768">
        <f t="shared" si="4"/>
        <v>864459</v>
      </c>
      <c r="R12" s="767">
        <f t="shared" si="4"/>
        <v>1818413</v>
      </c>
      <c r="S12" s="768">
        <f t="shared" si="4"/>
        <v>2565008</v>
      </c>
      <c r="T12" s="767">
        <f t="shared" si="4"/>
        <v>1588012</v>
      </c>
      <c r="U12" s="768">
        <f t="shared" si="4"/>
        <v>1324120</v>
      </c>
      <c r="V12" s="767">
        <f t="shared" si="4"/>
        <v>5563728</v>
      </c>
      <c r="W12" s="768">
        <f t="shared" si="4"/>
        <v>16477642</v>
      </c>
      <c r="X12" s="769">
        <f>SUM(X5:X11)</f>
        <v>17306522</v>
      </c>
      <c r="Y12" s="768">
        <f t="shared" si="4"/>
        <v>26525091</v>
      </c>
      <c r="Z12" s="767">
        <f t="shared" si="4"/>
        <v>1510038</v>
      </c>
      <c r="AA12" s="768">
        <f t="shared" si="4"/>
        <v>1707646</v>
      </c>
      <c r="AB12" s="767">
        <f t="shared" si="4"/>
        <v>1930868</v>
      </c>
      <c r="AC12" s="768">
        <f t="shared" si="4"/>
        <v>1392654.05</v>
      </c>
      <c r="AD12" s="767">
        <f t="shared" si="4"/>
        <v>5546481</v>
      </c>
      <c r="AE12" s="768">
        <f t="shared" si="4"/>
        <v>6684628</v>
      </c>
      <c r="AF12" s="767">
        <f t="shared" si="4"/>
        <v>6603913</v>
      </c>
      <c r="AG12" s="768">
        <f t="shared" si="4"/>
        <v>6780704</v>
      </c>
      <c r="AH12" s="767">
        <f aca="true" t="shared" si="5" ref="AH12:AY12">SUM(AH5:AH11)</f>
        <v>2387259</v>
      </c>
      <c r="AI12" s="768">
        <f t="shared" si="5"/>
        <v>1671863</v>
      </c>
      <c r="AJ12" s="767">
        <f t="shared" si="5"/>
        <v>2617597</v>
      </c>
      <c r="AK12" s="768">
        <f t="shared" si="5"/>
        <v>3309315</v>
      </c>
      <c r="AL12" s="767">
        <f t="shared" si="5"/>
        <v>0</v>
      </c>
      <c r="AM12" s="768">
        <f t="shared" si="5"/>
        <v>0</v>
      </c>
      <c r="AN12" s="767">
        <f t="shared" si="5"/>
        <v>15176978</v>
      </c>
      <c r="AO12" s="768">
        <f t="shared" si="5"/>
        <v>19461442</v>
      </c>
      <c r="AP12" s="767">
        <f t="shared" si="5"/>
        <v>1266710</v>
      </c>
      <c r="AQ12" s="768">
        <f t="shared" si="5"/>
        <v>1116444</v>
      </c>
      <c r="AR12" s="767">
        <f t="shared" si="5"/>
        <v>1346455</v>
      </c>
      <c r="AS12" s="768">
        <f t="shared" si="5"/>
        <v>1386091</v>
      </c>
      <c r="AT12" s="767">
        <f t="shared" si="5"/>
        <v>2515322</v>
      </c>
      <c r="AU12" s="768">
        <f t="shared" si="5"/>
        <v>2481262</v>
      </c>
      <c r="AV12" s="761">
        <f t="shared" si="0"/>
        <v>92458321</v>
      </c>
      <c r="AW12" s="765">
        <f t="shared" si="1"/>
        <v>115213345.05</v>
      </c>
      <c r="AX12" s="767">
        <f t="shared" si="5"/>
        <v>27039040</v>
      </c>
      <c r="AY12" s="768">
        <f t="shared" si="5"/>
        <v>0</v>
      </c>
      <c r="AZ12" s="761">
        <f t="shared" si="2"/>
        <v>119497361</v>
      </c>
      <c r="BA12" s="765">
        <f t="shared" si="3"/>
        <v>115213345.05</v>
      </c>
    </row>
    <row r="13" spans="1:53" ht="42.75">
      <c r="A13" s="308" t="s">
        <v>149</v>
      </c>
      <c r="B13" s="243">
        <v>1391803</v>
      </c>
      <c r="C13" s="499">
        <v>378860</v>
      </c>
      <c r="D13" s="22">
        <v>705493</v>
      </c>
      <c r="E13" s="26">
        <v>70085</v>
      </c>
      <c r="F13" s="22">
        <v>1098413</v>
      </c>
      <c r="G13" s="26"/>
      <c r="H13" s="22">
        <v>466530</v>
      </c>
      <c r="I13" s="26">
        <v>373345</v>
      </c>
      <c r="J13" s="22">
        <v>2586562</v>
      </c>
      <c r="K13" s="26">
        <f>78181+36560</f>
        <v>114741</v>
      </c>
      <c r="L13" s="22">
        <v>87163</v>
      </c>
      <c r="M13" s="26">
        <f>45068+17892</f>
        <v>62960</v>
      </c>
      <c r="N13" s="22">
        <v>1074408</v>
      </c>
      <c r="O13" s="26">
        <v>613804</v>
      </c>
      <c r="P13" s="22">
        <v>2050794</v>
      </c>
      <c r="Q13" s="26">
        <f>10386+31514+2427305</f>
        <v>2469205</v>
      </c>
      <c r="R13" s="22">
        <v>44247</v>
      </c>
      <c r="S13" s="26">
        <f>2407+37562</f>
        <v>39969</v>
      </c>
      <c r="T13" s="22">
        <v>2906889</v>
      </c>
      <c r="U13" s="26">
        <f>14581+56412+2516312</f>
        <v>2587305</v>
      </c>
      <c r="V13" s="22">
        <v>278059</v>
      </c>
      <c r="W13" s="26">
        <f>80331+254162+953642</f>
        <v>1288135</v>
      </c>
      <c r="X13" s="25">
        <v>422049</v>
      </c>
      <c r="Y13" s="26">
        <f>341269+78333</f>
        <v>419602</v>
      </c>
      <c r="Z13" s="22">
        <v>75367</v>
      </c>
      <c r="AA13" s="26">
        <f>58255+33017</f>
        <v>91272</v>
      </c>
      <c r="AB13" s="22">
        <v>149930</v>
      </c>
      <c r="AC13" s="26">
        <f>154986.79+22021.57+153886.63</f>
        <v>330894.99</v>
      </c>
      <c r="AD13" s="22">
        <v>41123</v>
      </c>
      <c r="AE13" s="26">
        <v>31678</v>
      </c>
      <c r="AF13" s="22"/>
      <c r="AG13" s="26">
        <f>111115+180565</f>
        <v>291680</v>
      </c>
      <c r="AH13" s="22">
        <v>113659</v>
      </c>
      <c r="AI13" s="26">
        <f>304176+5677+26905</f>
        <v>336758</v>
      </c>
      <c r="AJ13" s="22">
        <v>346139</v>
      </c>
      <c r="AK13" s="26">
        <f>421027+82050</f>
        <v>503077</v>
      </c>
      <c r="AL13" s="22"/>
      <c r="AM13" s="26"/>
      <c r="AN13" s="312"/>
      <c r="AO13" s="316"/>
      <c r="AP13" s="30">
        <f>7905+662592</f>
        <v>670497</v>
      </c>
      <c r="AQ13" s="31">
        <f>11508+757531</f>
        <v>769039</v>
      </c>
      <c r="AR13" s="32">
        <v>99614</v>
      </c>
      <c r="AS13" s="33">
        <f>38916+46800</f>
        <v>85716</v>
      </c>
      <c r="AT13" s="22">
        <v>87977</v>
      </c>
      <c r="AU13" s="26">
        <f>58580+41390</f>
        <v>99970</v>
      </c>
      <c r="AV13" s="16">
        <f t="shared" si="0"/>
        <v>14696716</v>
      </c>
      <c r="AW13" s="497">
        <f t="shared" si="1"/>
        <v>10958095.99</v>
      </c>
      <c r="AX13" s="32">
        <v>4206</v>
      </c>
      <c r="AY13" s="33"/>
      <c r="AZ13" s="16">
        <f t="shared" si="2"/>
        <v>14700922</v>
      </c>
      <c r="BA13" s="497">
        <f t="shared" si="3"/>
        <v>10958095.99</v>
      </c>
    </row>
    <row r="14" spans="1:53" ht="14.25">
      <c r="A14" s="308" t="s">
        <v>150</v>
      </c>
      <c r="B14" s="243"/>
      <c r="C14" s="499"/>
      <c r="D14" s="22"/>
      <c r="E14" s="26"/>
      <c r="F14" s="22"/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2"/>
      <c r="S14" s="26"/>
      <c r="T14" s="22"/>
      <c r="U14" s="26"/>
      <c r="V14" s="22"/>
      <c r="W14" s="26"/>
      <c r="X14" s="25"/>
      <c r="Y14" s="26"/>
      <c r="Z14" s="22"/>
      <c r="AA14" s="26"/>
      <c r="AB14" s="22"/>
      <c r="AC14" s="26"/>
      <c r="AD14" s="22"/>
      <c r="AE14" s="26"/>
      <c r="AF14" s="22"/>
      <c r="AG14" s="26"/>
      <c r="AH14" s="22"/>
      <c r="AI14" s="26"/>
      <c r="AJ14" s="22"/>
      <c r="AK14" s="26"/>
      <c r="AL14" s="22"/>
      <c r="AM14" s="26"/>
      <c r="AN14" s="314"/>
      <c r="AO14" s="318"/>
      <c r="AP14" s="30"/>
      <c r="AQ14" s="31"/>
      <c r="AR14" s="32"/>
      <c r="AS14" s="33"/>
      <c r="AT14" s="22"/>
      <c r="AU14" s="26"/>
      <c r="AV14" s="16">
        <f t="shared" si="0"/>
        <v>0</v>
      </c>
      <c r="AW14" s="497">
        <f t="shared" si="1"/>
        <v>0</v>
      </c>
      <c r="AX14" s="32"/>
      <c r="AY14" s="33"/>
      <c r="AZ14" s="16">
        <f t="shared" si="2"/>
        <v>0</v>
      </c>
      <c r="BA14" s="497">
        <f t="shared" si="3"/>
        <v>0</v>
      </c>
    </row>
    <row r="15" spans="1:53" ht="14.25">
      <c r="A15" s="308" t="s">
        <v>151</v>
      </c>
      <c r="B15" s="242"/>
      <c r="C15" s="498">
        <v>88826</v>
      </c>
      <c r="D15" s="38"/>
      <c r="E15" s="41"/>
      <c r="F15" s="38"/>
      <c r="G15" s="41"/>
      <c r="H15" s="38"/>
      <c r="I15" s="41"/>
      <c r="J15" s="38"/>
      <c r="K15" s="41"/>
      <c r="L15" s="38"/>
      <c r="M15" s="41"/>
      <c r="N15" s="38"/>
      <c r="O15" s="41"/>
      <c r="P15" s="38"/>
      <c r="Q15" s="41"/>
      <c r="R15" s="38"/>
      <c r="S15" s="41"/>
      <c r="T15" s="38"/>
      <c r="U15" s="41"/>
      <c r="V15" s="38"/>
      <c r="W15" s="41"/>
      <c r="X15" s="40"/>
      <c r="Y15" s="41"/>
      <c r="Z15" s="27"/>
      <c r="AA15" s="28"/>
      <c r="AB15" s="38"/>
      <c r="AC15" s="41"/>
      <c r="AD15" s="42"/>
      <c r="AE15" s="43"/>
      <c r="AF15" s="38"/>
      <c r="AG15" s="41"/>
      <c r="AH15" s="38"/>
      <c r="AI15" s="41"/>
      <c r="AJ15" s="38"/>
      <c r="AK15" s="41"/>
      <c r="AL15" s="22"/>
      <c r="AM15" s="26"/>
      <c r="AN15" s="313">
        <v>4475</v>
      </c>
      <c r="AO15" s="317">
        <v>5365</v>
      </c>
      <c r="AP15" s="30"/>
      <c r="AQ15" s="31"/>
      <c r="AR15" s="32"/>
      <c r="AS15" s="33"/>
      <c r="AT15" s="38"/>
      <c r="AU15" s="41"/>
      <c r="AV15" s="16">
        <f t="shared" si="0"/>
        <v>4475</v>
      </c>
      <c r="AW15" s="497">
        <f t="shared" si="1"/>
        <v>94191</v>
      </c>
      <c r="AX15" s="38"/>
      <c r="AY15" s="41"/>
      <c r="AZ15" s="16">
        <f t="shared" si="2"/>
        <v>4475</v>
      </c>
      <c r="BA15" s="497">
        <f t="shared" si="3"/>
        <v>94191</v>
      </c>
    </row>
    <row r="16" spans="1:53" ht="28.5">
      <c r="A16" s="308" t="s">
        <v>152</v>
      </c>
      <c r="B16" s="243"/>
      <c r="C16" s="499"/>
      <c r="D16" s="22"/>
      <c r="E16" s="26"/>
      <c r="F16" s="22"/>
      <c r="G16" s="26"/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2"/>
      <c r="S16" s="26"/>
      <c r="T16" s="22"/>
      <c r="U16" s="26"/>
      <c r="V16" s="22"/>
      <c r="W16" s="26"/>
      <c r="X16" s="25"/>
      <c r="Y16" s="26"/>
      <c r="Z16" s="27"/>
      <c r="AA16" s="28"/>
      <c r="AB16" s="22"/>
      <c r="AC16" s="26"/>
      <c r="AD16" s="22"/>
      <c r="AE16" s="26"/>
      <c r="AF16" s="22"/>
      <c r="AG16" s="26"/>
      <c r="AH16" s="22"/>
      <c r="AI16" s="26"/>
      <c r="AJ16" s="22"/>
      <c r="AK16" s="26"/>
      <c r="AL16" s="22"/>
      <c r="AM16" s="26"/>
      <c r="AN16" s="313">
        <v>1270</v>
      </c>
      <c r="AO16" s="317">
        <v>2609</v>
      </c>
      <c r="AP16" s="30"/>
      <c r="AQ16" s="31"/>
      <c r="AR16" s="32"/>
      <c r="AS16" s="33"/>
      <c r="AT16" s="22"/>
      <c r="AU16" s="26"/>
      <c r="AV16" s="16">
        <f t="shared" si="0"/>
        <v>1270</v>
      </c>
      <c r="AW16" s="497">
        <f t="shared" si="1"/>
        <v>2609</v>
      </c>
      <c r="AX16" s="22"/>
      <c r="AY16" s="26"/>
      <c r="AZ16" s="16">
        <f t="shared" si="2"/>
        <v>1270</v>
      </c>
      <c r="BA16" s="497">
        <f t="shared" si="3"/>
        <v>2609</v>
      </c>
    </row>
    <row r="17" spans="1:53" ht="14.25">
      <c r="A17" s="308" t="s">
        <v>153</v>
      </c>
      <c r="B17" s="243"/>
      <c r="C17" s="499"/>
      <c r="D17" s="22"/>
      <c r="E17" s="26"/>
      <c r="F17" s="22"/>
      <c r="G17" s="26"/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2"/>
      <c r="S17" s="26"/>
      <c r="T17" s="22"/>
      <c r="U17" s="26"/>
      <c r="V17" s="22"/>
      <c r="W17" s="26"/>
      <c r="X17" s="25"/>
      <c r="Y17" s="26"/>
      <c r="Z17" s="27"/>
      <c r="AA17" s="28"/>
      <c r="AB17" s="22"/>
      <c r="AC17" s="26"/>
      <c r="AD17" s="22"/>
      <c r="AE17" s="26"/>
      <c r="AF17" s="22"/>
      <c r="AG17" s="26"/>
      <c r="AH17" s="22"/>
      <c r="AI17" s="26"/>
      <c r="AJ17" s="22"/>
      <c r="AK17" s="26"/>
      <c r="AL17" s="22"/>
      <c r="AM17" s="26"/>
      <c r="AN17" s="313">
        <v>6194</v>
      </c>
      <c r="AO17" s="317">
        <v>3910</v>
      </c>
      <c r="AP17" s="30"/>
      <c r="AQ17" s="31"/>
      <c r="AR17" s="32"/>
      <c r="AS17" s="33"/>
      <c r="AT17" s="22"/>
      <c r="AU17" s="26"/>
      <c r="AV17" s="16">
        <f t="shared" si="0"/>
        <v>6194</v>
      </c>
      <c r="AW17" s="497">
        <f t="shared" si="1"/>
        <v>3910</v>
      </c>
      <c r="AX17" s="22"/>
      <c r="AY17" s="26"/>
      <c r="AZ17" s="16">
        <f t="shared" si="2"/>
        <v>6194</v>
      </c>
      <c r="BA17" s="497">
        <f t="shared" si="3"/>
        <v>3910</v>
      </c>
    </row>
    <row r="18" spans="1:53" ht="14.25">
      <c r="A18" s="308" t="s">
        <v>154</v>
      </c>
      <c r="B18" s="243"/>
      <c r="C18" s="499"/>
      <c r="D18" s="22"/>
      <c r="E18" s="26">
        <v>24905</v>
      </c>
      <c r="F18" s="22"/>
      <c r="G18" s="26"/>
      <c r="H18" s="22"/>
      <c r="I18" s="26">
        <v>83641</v>
      </c>
      <c r="J18" s="22"/>
      <c r="K18" s="26"/>
      <c r="L18" s="22">
        <v>410559</v>
      </c>
      <c r="M18" s="26">
        <f>42430+150850+42362</f>
        <v>235642</v>
      </c>
      <c r="N18" s="22">
        <v>1452477</v>
      </c>
      <c r="O18" s="26">
        <f>54348+838448</f>
        <v>892796</v>
      </c>
      <c r="P18" s="22"/>
      <c r="Q18" s="26"/>
      <c r="R18" s="22">
        <v>1601451</v>
      </c>
      <c r="S18" s="26">
        <v>1998085</v>
      </c>
      <c r="T18" s="22"/>
      <c r="U18" s="26"/>
      <c r="V18" s="22"/>
      <c r="W18" s="26"/>
      <c r="X18" s="25"/>
      <c r="Y18" s="26"/>
      <c r="Z18" s="27"/>
      <c r="AA18" s="28"/>
      <c r="AB18" s="22"/>
      <c r="AC18" s="26"/>
      <c r="AD18" s="22"/>
      <c r="AE18" s="26"/>
      <c r="AF18" s="22">
        <f>107402+523+1034+21788</f>
        <v>130747</v>
      </c>
      <c r="AG18" s="26"/>
      <c r="AH18" s="22"/>
      <c r="AI18" s="26"/>
      <c r="AJ18" s="22">
        <v>793569</v>
      </c>
      <c r="AK18" s="26"/>
      <c r="AL18" s="22"/>
      <c r="AM18" s="26"/>
      <c r="AN18" s="313">
        <v>98361</v>
      </c>
      <c r="AO18" s="317">
        <v>249387</v>
      </c>
      <c r="AP18" s="30"/>
      <c r="AQ18" s="31"/>
      <c r="AR18" s="32"/>
      <c r="AS18" s="33"/>
      <c r="AT18" s="22"/>
      <c r="AU18" s="26"/>
      <c r="AV18" s="16">
        <f t="shared" si="0"/>
        <v>4487164</v>
      </c>
      <c r="AW18" s="497">
        <f t="shared" si="1"/>
        <v>3484456</v>
      </c>
      <c r="AX18" s="22"/>
      <c r="AY18" s="26"/>
      <c r="AZ18" s="16">
        <f t="shared" si="2"/>
        <v>4487164</v>
      </c>
      <c r="BA18" s="497">
        <f t="shared" si="3"/>
        <v>3484456</v>
      </c>
    </row>
    <row r="19" spans="1:53" ht="28.5">
      <c r="A19" s="308" t="s">
        <v>155</v>
      </c>
      <c r="B19" s="243">
        <v>28700</v>
      </c>
      <c r="C19" s="499"/>
      <c r="D19" s="22"/>
      <c r="E19" s="26"/>
      <c r="F19" s="22"/>
      <c r="G19" s="26"/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2">
        <v>17419</v>
      </c>
      <c r="S19" s="26">
        <v>12304</v>
      </c>
      <c r="T19" s="22"/>
      <c r="U19" s="26"/>
      <c r="V19" s="22"/>
      <c r="W19" s="26"/>
      <c r="X19" s="25"/>
      <c r="Y19" s="26"/>
      <c r="Z19" s="27"/>
      <c r="AA19" s="28"/>
      <c r="AB19" s="22"/>
      <c r="AC19" s="26"/>
      <c r="AD19" s="22">
        <v>26000</v>
      </c>
      <c r="AE19" s="26">
        <v>37000</v>
      </c>
      <c r="AF19" s="22">
        <v>126400</v>
      </c>
      <c r="AG19" s="26"/>
      <c r="AH19" s="22"/>
      <c r="AI19" s="26"/>
      <c r="AJ19" s="22"/>
      <c r="AK19" s="26"/>
      <c r="AL19" s="22"/>
      <c r="AM19" s="26"/>
      <c r="AN19" s="313">
        <v>189616</v>
      </c>
      <c r="AO19" s="317">
        <v>221697</v>
      </c>
      <c r="AP19" s="30">
        <v>5700</v>
      </c>
      <c r="AQ19" s="31">
        <v>49773</v>
      </c>
      <c r="AR19" s="32">
        <v>22498</v>
      </c>
      <c r="AS19" s="33">
        <v>15210</v>
      </c>
      <c r="AT19" s="22">
        <v>8129</v>
      </c>
      <c r="AU19" s="26">
        <v>7383</v>
      </c>
      <c r="AV19" s="16">
        <f t="shared" si="0"/>
        <v>424462</v>
      </c>
      <c r="AW19" s="497">
        <f t="shared" si="1"/>
        <v>343367</v>
      </c>
      <c r="AX19" s="22"/>
      <c r="AY19" s="26"/>
      <c r="AZ19" s="16">
        <f t="shared" si="2"/>
        <v>424462</v>
      </c>
      <c r="BA19" s="497">
        <f t="shared" si="3"/>
        <v>343367</v>
      </c>
    </row>
    <row r="20" spans="1:53" ht="14.25">
      <c r="A20" s="308" t="s">
        <v>156</v>
      </c>
      <c r="B20" s="242"/>
      <c r="C20" s="498"/>
      <c r="D20" s="38"/>
      <c r="E20" s="41"/>
      <c r="F20" s="38"/>
      <c r="G20" s="41"/>
      <c r="H20" s="38"/>
      <c r="I20" s="41"/>
      <c r="J20" s="38"/>
      <c r="K20" s="41"/>
      <c r="L20" s="38">
        <v>2128</v>
      </c>
      <c r="M20" s="41">
        <v>1186</v>
      </c>
      <c r="N20" s="38"/>
      <c r="O20" s="41"/>
      <c r="P20" s="38"/>
      <c r="Q20" s="41"/>
      <c r="R20" s="38"/>
      <c r="S20" s="41"/>
      <c r="T20" s="38"/>
      <c r="U20" s="41"/>
      <c r="V20" s="38"/>
      <c r="W20" s="41"/>
      <c r="X20" s="40"/>
      <c r="Y20" s="41"/>
      <c r="Z20" s="27"/>
      <c r="AA20" s="28"/>
      <c r="AB20" s="38">
        <v>3296</v>
      </c>
      <c r="AC20" s="41"/>
      <c r="AD20" s="42"/>
      <c r="AE20" s="43"/>
      <c r="AF20" s="38"/>
      <c r="AG20" s="41"/>
      <c r="AH20" s="38"/>
      <c r="AI20" s="41"/>
      <c r="AJ20" s="38"/>
      <c r="AK20" s="41"/>
      <c r="AL20" s="22"/>
      <c r="AM20" s="26"/>
      <c r="AN20" s="314"/>
      <c r="AO20" s="318"/>
      <c r="AP20" s="30"/>
      <c r="AQ20" s="31"/>
      <c r="AR20" s="32">
        <v>809</v>
      </c>
      <c r="AS20" s="33">
        <v>1004</v>
      </c>
      <c r="AT20" s="38">
        <v>41606</v>
      </c>
      <c r="AU20" s="41">
        <v>138</v>
      </c>
      <c r="AV20" s="16">
        <f t="shared" si="0"/>
        <v>47839</v>
      </c>
      <c r="AW20" s="497">
        <f t="shared" si="1"/>
        <v>2328</v>
      </c>
      <c r="AX20" s="38"/>
      <c r="AY20" s="41"/>
      <c r="AZ20" s="16">
        <f t="shared" si="2"/>
        <v>47839</v>
      </c>
      <c r="BA20" s="497">
        <f t="shared" si="3"/>
        <v>2328</v>
      </c>
    </row>
    <row r="21" spans="1:53" ht="28.5">
      <c r="A21" s="308" t="s">
        <v>157</v>
      </c>
      <c r="B21" s="243">
        <v>1392155</v>
      </c>
      <c r="C21" s="499">
        <f>1832020+424800</f>
        <v>2256820</v>
      </c>
      <c r="D21" s="22">
        <v>170000</v>
      </c>
      <c r="E21" s="26">
        <v>799926</v>
      </c>
      <c r="F21" s="22">
        <v>102139</v>
      </c>
      <c r="G21" s="26"/>
      <c r="H21" s="22">
        <v>3763859</v>
      </c>
      <c r="I21" s="26">
        <f>1462100+2849183</f>
        <v>4311283</v>
      </c>
      <c r="J21" s="22"/>
      <c r="K21" s="26">
        <v>2872984</v>
      </c>
      <c r="L21" s="22">
        <f>25863+29428+13340</f>
        <v>68631</v>
      </c>
      <c r="M21" s="26">
        <f>6550+612415+84589+25812</f>
        <v>729366</v>
      </c>
      <c r="N21" s="327">
        <v>125705</v>
      </c>
      <c r="O21" s="26">
        <v>338752</v>
      </c>
      <c r="P21" s="22">
        <v>1413897</v>
      </c>
      <c r="Q21" s="26">
        <v>826567</v>
      </c>
      <c r="R21" s="22">
        <v>34968</v>
      </c>
      <c r="S21" s="26">
        <v>92908</v>
      </c>
      <c r="T21" s="22">
        <v>604364</v>
      </c>
      <c r="U21" s="26">
        <v>224439</v>
      </c>
      <c r="V21" s="22">
        <v>3089502</v>
      </c>
      <c r="W21" s="26">
        <v>93815</v>
      </c>
      <c r="X21" s="25">
        <v>5272030</v>
      </c>
      <c r="Y21" s="26">
        <f>4435307+10534784</f>
        <v>14970091</v>
      </c>
      <c r="Z21" s="27"/>
      <c r="AA21" s="28">
        <v>4796</v>
      </c>
      <c r="AB21" s="22">
        <v>1004429</v>
      </c>
      <c r="AC21" s="26">
        <v>1054476.44</v>
      </c>
      <c r="AD21" s="22">
        <v>172231</v>
      </c>
      <c r="AE21" s="26">
        <f>29355+215918</f>
        <v>245273</v>
      </c>
      <c r="AF21" s="22">
        <v>120347</v>
      </c>
      <c r="AG21" s="26">
        <f>238744+170969</f>
        <v>409713</v>
      </c>
      <c r="AH21" s="22">
        <v>756411</v>
      </c>
      <c r="AI21" s="26">
        <f>344520</f>
        <v>344520</v>
      </c>
      <c r="AJ21" s="22">
        <v>1223252</v>
      </c>
      <c r="AK21" s="26">
        <f>1447708+653422</f>
        <v>2101130</v>
      </c>
      <c r="AL21" s="22"/>
      <c r="AM21" s="26"/>
      <c r="AN21" s="314">
        <v>989153</v>
      </c>
      <c r="AO21" s="318">
        <v>4762804</v>
      </c>
      <c r="AP21" s="30">
        <v>1182</v>
      </c>
      <c r="AQ21" s="31">
        <v>1761</v>
      </c>
      <c r="AR21" s="32">
        <v>172111</v>
      </c>
      <c r="AS21" s="33">
        <f>38806+89055+229408</f>
        <v>357269</v>
      </c>
      <c r="AT21" s="22">
        <v>1861371</v>
      </c>
      <c r="AU21" s="26">
        <v>1674517</v>
      </c>
      <c r="AV21" s="16">
        <f t="shared" si="0"/>
        <v>22337737</v>
      </c>
      <c r="AW21" s="497">
        <f t="shared" si="1"/>
        <v>38473210.44</v>
      </c>
      <c r="AX21" s="32"/>
      <c r="AY21" s="33"/>
      <c r="AZ21" s="16">
        <f t="shared" si="2"/>
        <v>22337737</v>
      </c>
      <c r="BA21" s="497">
        <f t="shared" si="3"/>
        <v>38473210.44</v>
      </c>
    </row>
    <row r="22" spans="1:53" ht="14.25">
      <c r="A22" s="308" t="s">
        <v>158</v>
      </c>
      <c r="B22" s="243"/>
      <c r="C22" s="499"/>
      <c r="D22" s="22"/>
      <c r="E22" s="26"/>
      <c r="F22" s="22"/>
      <c r="G22" s="26"/>
      <c r="H22" s="22"/>
      <c r="I22" s="26"/>
      <c r="J22" s="22"/>
      <c r="K22" s="26"/>
      <c r="L22" s="22"/>
      <c r="M22" s="26">
        <v>474243</v>
      </c>
      <c r="N22" s="22"/>
      <c r="O22" s="26"/>
      <c r="P22" s="22"/>
      <c r="Q22" s="26"/>
      <c r="R22" s="22"/>
      <c r="S22" s="26"/>
      <c r="T22" s="22"/>
      <c r="U22" s="26"/>
      <c r="V22" s="22"/>
      <c r="W22" s="26"/>
      <c r="X22" s="25"/>
      <c r="Y22" s="26"/>
      <c r="Z22" s="27"/>
      <c r="AA22" s="28"/>
      <c r="AB22" s="22"/>
      <c r="AC22" s="26"/>
      <c r="AD22" s="22"/>
      <c r="AE22" s="26"/>
      <c r="AF22" s="22"/>
      <c r="AG22" s="26"/>
      <c r="AH22" s="22"/>
      <c r="AI22" s="26"/>
      <c r="AJ22" s="22"/>
      <c r="AK22" s="26"/>
      <c r="AL22" s="22"/>
      <c r="AM22" s="26"/>
      <c r="AN22" s="312"/>
      <c r="AO22" s="316"/>
      <c r="AP22" s="30"/>
      <c r="AQ22" s="31"/>
      <c r="AR22" s="32"/>
      <c r="AS22" s="33"/>
      <c r="AT22" s="22"/>
      <c r="AU22" s="26"/>
      <c r="AV22" s="16">
        <f t="shared" si="0"/>
        <v>0</v>
      </c>
      <c r="AW22" s="497">
        <f t="shared" si="1"/>
        <v>474243</v>
      </c>
      <c r="AX22" s="32"/>
      <c r="AY22" s="33"/>
      <c r="AZ22" s="16">
        <f t="shared" si="2"/>
        <v>0</v>
      </c>
      <c r="BA22" s="497">
        <f t="shared" si="3"/>
        <v>474243</v>
      </c>
    </row>
    <row r="23" spans="1:53" ht="28.5">
      <c r="A23" s="308" t="s">
        <v>159</v>
      </c>
      <c r="B23" s="243"/>
      <c r="C23" s="499">
        <v>48276</v>
      </c>
      <c r="D23" s="22">
        <v>20000</v>
      </c>
      <c r="E23" s="26"/>
      <c r="F23" s="22"/>
      <c r="G23" s="26"/>
      <c r="H23" s="22">
        <v>1346782</v>
      </c>
      <c r="I23" s="26">
        <v>1230079</v>
      </c>
      <c r="J23" s="22"/>
      <c r="K23" s="26">
        <v>350000</v>
      </c>
      <c r="L23" s="22"/>
      <c r="M23" s="26"/>
      <c r="N23" s="22">
        <v>85512</v>
      </c>
      <c r="O23" s="26">
        <v>2121641</v>
      </c>
      <c r="P23" s="22"/>
      <c r="Q23" s="26">
        <v>420236</v>
      </c>
      <c r="R23" s="22"/>
      <c r="S23" s="26">
        <v>132750</v>
      </c>
      <c r="T23" s="22"/>
      <c r="U23" s="26"/>
      <c r="V23" s="22">
        <v>97281</v>
      </c>
      <c r="W23" s="26">
        <v>1978450</v>
      </c>
      <c r="X23" s="25"/>
      <c r="Y23" s="26">
        <v>465584</v>
      </c>
      <c r="Z23" s="27">
        <v>106947</v>
      </c>
      <c r="AA23" s="28">
        <v>-5524</v>
      </c>
      <c r="AB23" s="22">
        <v>155367</v>
      </c>
      <c r="AC23" s="26">
        <v>975297.7</v>
      </c>
      <c r="AD23" s="22">
        <v>1874</v>
      </c>
      <c r="AE23" s="26">
        <v>749</v>
      </c>
      <c r="AF23" s="22"/>
      <c r="AG23" s="26">
        <v>100911</v>
      </c>
      <c r="AH23" s="22"/>
      <c r="AI23" s="26"/>
      <c r="AJ23" s="22"/>
      <c r="AK23" s="26">
        <v>354499</v>
      </c>
      <c r="AL23" s="22"/>
      <c r="AM23" s="26"/>
      <c r="AN23" s="313">
        <v>159262</v>
      </c>
      <c r="AO23" s="317">
        <v>80175</v>
      </c>
      <c r="AP23" s="30">
        <v>50000</v>
      </c>
      <c r="AQ23" s="31">
        <v>27081</v>
      </c>
      <c r="AR23" s="32">
        <v>31200</v>
      </c>
      <c r="AS23" s="33">
        <v>334400</v>
      </c>
      <c r="AT23" s="22"/>
      <c r="AU23" s="26"/>
      <c r="AV23" s="16">
        <f t="shared" si="0"/>
        <v>2054225</v>
      </c>
      <c r="AW23" s="497">
        <f t="shared" si="1"/>
        <v>8614604.7</v>
      </c>
      <c r="AX23" s="32"/>
      <c r="AY23" s="33"/>
      <c r="AZ23" s="16">
        <f t="shared" si="2"/>
        <v>2054225</v>
      </c>
      <c r="BA23" s="497">
        <f t="shared" si="3"/>
        <v>8614604.7</v>
      </c>
    </row>
    <row r="24" spans="1:53" ht="14.25">
      <c r="A24" s="308" t="s">
        <v>160</v>
      </c>
      <c r="B24" s="243"/>
      <c r="C24" s="499"/>
      <c r="D24" s="22">
        <v>7</v>
      </c>
      <c r="E24" s="26">
        <v>-200</v>
      </c>
      <c r="F24" s="22"/>
      <c r="G24" s="26"/>
      <c r="H24" s="22"/>
      <c r="I24" s="26"/>
      <c r="J24" s="22"/>
      <c r="K24" s="26"/>
      <c r="L24" s="22">
        <v>168</v>
      </c>
      <c r="M24" s="26">
        <v>-82</v>
      </c>
      <c r="N24" s="22"/>
      <c r="O24" s="26"/>
      <c r="P24" s="22"/>
      <c r="Q24" s="26"/>
      <c r="R24" s="22"/>
      <c r="S24" s="26"/>
      <c r="T24" s="22">
        <v>27500</v>
      </c>
      <c r="U24" s="26">
        <v>57500</v>
      </c>
      <c r="V24" s="22"/>
      <c r="W24" s="26"/>
      <c r="X24" s="25"/>
      <c r="Y24" s="26"/>
      <c r="Z24" s="27"/>
      <c r="AA24" s="28"/>
      <c r="AB24" s="22">
        <v>2136</v>
      </c>
      <c r="AC24" s="26">
        <v>6166.16</v>
      </c>
      <c r="AD24" s="22"/>
      <c r="AE24" s="26"/>
      <c r="AF24" s="22"/>
      <c r="AG24" s="26"/>
      <c r="AH24" s="22"/>
      <c r="AI24" s="26"/>
      <c r="AJ24" s="22"/>
      <c r="AK24" s="26"/>
      <c r="AL24" s="22"/>
      <c r="AM24" s="26"/>
      <c r="AN24" s="314"/>
      <c r="AO24" s="318"/>
      <c r="AP24" s="30"/>
      <c r="AQ24" s="31">
        <v>6244</v>
      </c>
      <c r="AR24" s="32">
        <v>4175</v>
      </c>
      <c r="AS24" s="33"/>
      <c r="AT24" s="22">
        <v>-24071</v>
      </c>
      <c r="AU24" s="26">
        <v>15734</v>
      </c>
      <c r="AV24" s="16">
        <f t="shared" si="0"/>
        <v>9915</v>
      </c>
      <c r="AW24" s="497">
        <f t="shared" si="1"/>
        <v>85362.16</v>
      </c>
      <c r="AX24" s="32"/>
      <c r="AY24" s="33"/>
      <c r="AZ24" s="16">
        <f t="shared" si="2"/>
        <v>9915</v>
      </c>
      <c r="BA24" s="497">
        <f t="shared" si="3"/>
        <v>85362.16</v>
      </c>
    </row>
    <row r="25" spans="1:53" ht="14.25">
      <c r="A25" s="308" t="s">
        <v>321</v>
      </c>
      <c r="B25" s="243"/>
      <c r="C25" s="499"/>
      <c r="D25" s="22"/>
      <c r="E25" s="26"/>
      <c r="F25" s="22"/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2"/>
      <c r="S25" s="26"/>
      <c r="T25" s="22"/>
      <c r="U25" s="26"/>
      <c r="V25" s="22"/>
      <c r="W25" s="26"/>
      <c r="X25" s="25"/>
      <c r="Y25" s="26"/>
      <c r="Z25" s="27"/>
      <c r="AA25" s="28"/>
      <c r="AB25" s="22"/>
      <c r="AC25" s="26"/>
      <c r="AD25" s="22"/>
      <c r="AE25" s="26"/>
      <c r="AF25" s="22"/>
      <c r="AG25" s="26"/>
      <c r="AH25" s="22"/>
      <c r="AI25" s="26">
        <v>47294</v>
      </c>
      <c r="AJ25" s="22"/>
      <c r="AK25" s="26"/>
      <c r="AL25" s="22"/>
      <c r="AM25" s="26"/>
      <c r="AN25" s="314"/>
      <c r="AO25" s="318"/>
      <c r="AP25" s="655"/>
      <c r="AQ25" s="31"/>
      <c r="AR25" s="32"/>
      <c r="AS25" s="33"/>
      <c r="AT25" s="22"/>
      <c r="AU25" s="26"/>
      <c r="AV25" s="16"/>
      <c r="AW25" s="652"/>
      <c r="AX25" s="32"/>
      <c r="AY25" s="33"/>
      <c r="AZ25" s="16"/>
      <c r="BA25" s="652"/>
    </row>
    <row r="26" spans="1:53" s="766" customFormat="1" ht="14.25">
      <c r="A26" s="760" t="s">
        <v>425</v>
      </c>
      <c r="B26" s="762">
        <f aca="true" t="shared" si="6" ref="B26:AG26">SUM(B13:B24)</f>
        <v>2812658</v>
      </c>
      <c r="C26" s="763">
        <f t="shared" si="6"/>
        <v>2772782</v>
      </c>
      <c r="D26" s="762">
        <f t="shared" si="6"/>
        <v>895500</v>
      </c>
      <c r="E26" s="763">
        <f t="shared" si="6"/>
        <v>894716</v>
      </c>
      <c r="F26" s="762">
        <f t="shared" si="6"/>
        <v>1200552</v>
      </c>
      <c r="G26" s="763">
        <f t="shared" si="6"/>
        <v>0</v>
      </c>
      <c r="H26" s="762">
        <f t="shared" si="6"/>
        <v>5577171</v>
      </c>
      <c r="I26" s="763">
        <f t="shared" si="6"/>
        <v>5998348</v>
      </c>
      <c r="J26" s="762">
        <f t="shared" si="6"/>
        <v>2586562</v>
      </c>
      <c r="K26" s="763">
        <f t="shared" si="6"/>
        <v>3337725</v>
      </c>
      <c r="L26" s="762">
        <f t="shared" si="6"/>
        <v>568649</v>
      </c>
      <c r="M26" s="763">
        <f t="shared" si="6"/>
        <v>1503315</v>
      </c>
      <c r="N26" s="762">
        <f t="shared" si="6"/>
        <v>2738102</v>
      </c>
      <c r="O26" s="763">
        <f t="shared" si="6"/>
        <v>3966993</v>
      </c>
      <c r="P26" s="762">
        <f t="shared" si="6"/>
        <v>3464691</v>
      </c>
      <c r="Q26" s="763">
        <f t="shared" si="6"/>
        <v>3716008</v>
      </c>
      <c r="R26" s="762">
        <f t="shared" si="6"/>
        <v>1698085</v>
      </c>
      <c r="S26" s="763">
        <f t="shared" si="6"/>
        <v>2276016</v>
      </c>
      <c r="T26" s="762">
        <f t="shared" si="6"/>
        <v>3538753</v>
      </c>
      <c r="U26" s="763">
        <f t="shared" si="6"/>
        <v>2869244</v>
      </c>
      <c r="V26" s="762">
        <f t="shared" si="6"/>
        <v>3464842</v>
      </c>
      <c r="W26" s="763">
        <f t="shared" si="6"/>
        <v>3360400</v>
      </c>
      <c r="X26" s="764">
        <f>SUM(X13:X24)</f>
        <v>5694079</v>
      </c>
      <c r="Y26" s="763">
        <f t="shared" si="6"/>
        <v>15855277</v>
      </c>
      <c r="Z26" s="762">
        <f t="shared" si="6"/>
        <v>182314</v>
      </c>
      <c r="AA26" s="763">
        <f t="shared" si="6"/>
        <v>90544</v>
      </c>
      <c r="AB26" s="762">
        <f t="shared" si="6"/>
        <v>1315158</v>
      </c>
      <c r="AC26" s="763">
        <f t="shared" si="6"/>
        <v>2366835.29</v>
      </c>
      <c r="AD26" s="762">
        <f t="shared" si="6"/>
        <v>241228</v>
      </c>
      <c r="AE26" s="763">
        <f t="shared" si="6"/>
        <v>314700</v>
      </c>
      <c r="AF26" s="762">
        <f t="shared" si="6"/>
        <v>377494</v>
      </c>
      <c r="AG26" s="763">
        <f t="shared" si="6"/>
        <v>802304</v>
      </c>
      <c r="AH26" s="762">
        <f aca="true" t="shared" si="7" ref="AH26:AU26">SUM(AH13:AH24)</f>
        <v>870070</v>
      </c>
      <c r="AI26" s="763">
        <f t="shared" si="7"/>
        <v>681278</v>
      </c>
      <c r="AJ26" s="762">
        <f t="shared" si="7"/>
        <v>2362960</v>
      </c>
      <c r="AK26" s="763">
        <f t="shared" si="7"/>
        <v>2958706</v>
      </c>
      <c r="AL26" s="762">
        <f t="shared" si="7"/>
        <v>0</v>
      </c>
      <c r="AM26" s="763">
        <f t="shared" si="7"/>
        <v>0</v>
      </c>
      <c r="AN26" s="762">
        <f t="shared" si="7"/>
        <v>1448331</v>
      </c>
      <c r="AO26" s="763">
        <f t="shared" si="7"/>
        <v>5325947</v>
      </c>
      <c r="AP26" s="763">
        <f t="shared" si="7"/>
        <v>727379</v>
      </c>
      <c r="AQ26" s="763">
        <f t="shared" si="7"/>
        <v>853898</v>
      </c>
      <c r="AR26" s="762">
        <f t="shared" si="7"/>
        <v>330407</v>
      </c>
      <c r="AS26" s="763">
        <f t="shared" si="7"/>
        <v>793599</v>
      </c>
      <c r="AT26" s="762">
        <f t="shared" si="7"/>
        <v>1975012</v>
      </c>
      <c r="AU26" s="763">
        <f t="shared" si="7"/>
        <v>1797742</v>
      </c>
      <c r="AV26" s="761">
        <f aca="true" t="shared" si="8" ref="AV26:AV37">SUM(B26+D26+F26+H26+J26+L26+N26+P26+R26+T26+V26+X26+Z26+AB26+AD26+AF26+AH26+AJ26+AL26+AN26+AP26+AR26+AT26)</f>
        <v>44069997</v>
      </c>
      <c r="AW26" s="765">
        <f aca="true" t="shared" si="9" ref="AW26:AW37">SUM(C26+E26+G26+I26+K26+M26+O26+Q26+S26+U26+W26+Y26+AA26+AC26+AE26+AG26+AI26+AK26+AM26+AO26+AQ26+AS26+AU26)</f>
        <v>62536377.29</v>
      </c>
      <c r="AX26" s="762">
        <f>SUM(AX13:AX24)</f>
        <v>4206</v>
      </c>
      <c r="AY26" s="763">
        <f>SUM(AY13:AY24)</f>
        <v>0</v>
      </c>
      <c r="AZ26" s="761">
        <f aca="true" t="shared" si="10" ref="AZ26:AZ37">AV26+AX26</f>
        <v>44074203</v>
      </c>
      <c r="BA26" s="765">
        <f aca="true" t="shared" si="11" ref="BA26:BA37">AW26+AY26</f>
        <v>62536377.29</v>
      </c>
    </row>
    <row r="27" spans="1:53" ht="14.25">
      <c r="A27" s="308" t="s">
        <v>161</v>
      </c>
      <c r="B27" s="243">
        <v>1256183</v>
      </c>
      <c r="C27" s="499">
        <v>1044296</v>
      </c>
      <c r="D27" s="22">
        <v>-786665</v>
      </c>
      <c r="E27" s="26">
        <v>-784467</v>
      </c>
      <c r="F27" s="22">
        <v>531883</v>
      </c>
      <c r="G27" s="26"/>
      <c r="H27" s="22">
        <v>5808492</v>
      </c>
      <c r="I27" s="26">
        <v>5244467</v>
      </c>
      <c r="J27" s="22">
        <v>-398563</v>
      </c>
      <c r="K27" s="26">
        <v>-2148044</v>
      </c>
      <c r="L27" s="22">
        <v>1651967</v>
      </c>
      <c r="M27" s="26">
        <v>1050875</v>
      </c>
      <c r="N27" s="22">
        <v>979111</v>
      </c>
      <c r="O27" s="26">
        <v>-1397830</v>
      </c>
      <c r="P27" s="22">
        <v>-2706266</v>
      </c>
      <c r="Q27" s="26">
        <v>-2851548</v>
      </c>
      <c r="R27" s="22">
        <v>120327</v>
      </c>
      <c r="S27" s="26">
        <v>288991</v>
      </c>
      <c r="T27" s="22">
        <v>-1950741</v>
      </c>
      <c r="U27" s="26">
        <v>-1555124</v>
      </c>
      <c r="V27" s="22">
        <v>12898886</v>
      </c>
      <c r="W27" s="26">
        <v>13117442</v>
      </c>
      <c r="X27" s="25">
        <v>11612443</v>
      </c>
      <c r="Y27" s="26">
        <v>10669814</v>
      </c>
      <c r="Z27" s="27">
        <v>1327724</v>
      </c>
      <c r="AA27" s="28">
        <v>1617102</v>
      </c>
      <c r="AB27" s="22">
        <v>615798</v>
      </c>
      <c r="AC27" s="26">
        <v>-974181.24</v>
      </c>
      <c r="AD27" s="22">
        <v>5305253</v>
      </c>
      <c r="AE27" s="26">
        <v>6369928</v>
      </c>
      <c r="AF27" s="22">
        <v>6226419</v>
      </c>
      <c r="AG27" s="26">
        <v>5978400</v>
      </c>
      <c r="AH27" s="22">
        <v>1517189</v>
      </c>
      <c r="AI27" s="26">
        <v>943291</v>
      </c>
      <c r="AJ27" s="22">
        <v>254637</v>
      </c>
      <c r="AK27" s="26">
        <v>350609</v>
      </c>
      <c r="AL27" s="22"/>
      <c r="AM27" s="26"/>
      <c r="AN27" s="313">
        <v>13728647</v>
      </c>
      <c r="AO27" s="317">
        <v>14135495</v>
      </c>
      <c r="AP27" s="30">
        <v>539330</v>
      </c>
      <c r="AQ27" s="31">
        <v>262546</v>
      </c>
      <c r="AR27" s="32">
        <v>1016048</v>
      </c>
      <c r="AS27" s="33">
        <v>592492</v>
      </c>
      <c r="AT27" s="22">
        <v>540310</v>
      </c>
      <c r="AU27" s="26">
        <v>683520</v>
      </c>
      <c r="AV27" s="16">
        <f t="shared" si="8"/>
        <v>60088412</v>
      </c>
      <c r="AW27" s="497">
        <f t="shared" si="9"/>
        <v>52638073.760000005</v>
      </c>
      <c r="AX27" s="32">
        <v>27034834</v>
      </c>
      <c r="AY27" s="33"/>
      <c r="AZ27" s="16">
        <f t="shared" si="10"/>
        <v>87123246</v>
      </c>
      <c r="BA27" s="497">
        <f t="shared" si="11"/>
        <v>52638073.760000005</v>
      </c>
    </row>
    <row r="28" spans="1:53" ht="14.25">
      <c r="A28" s="308" t="s">
        <v>162</v>
      </c>
      <c r="B28" s="243"/>
      <c r="C28" s="499"/>
      <c r="D28" s="22"/>
      <c r="E28" s="26"/>
      <c r="F28" s="22"/>
      <c r="G28" s="26"/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2"/>
      <c r="S28" s="26"/>
      <c r="T28" s="22"/>
      <c r="U28" s="26"/>
      <c r="V28" s="22">
        <v>130947</v>
      </c>
      <c r="W28" s="26">
        <v>164780</v>
      </c>
      <c r="X28" s="25">
        <v>-223181</v>
      </c>
      <c r="Y28" s="26"/>
      <c r="Z28" s="27"/>
      <c r="AA28" s="28">
        <v>138779</v>
      </c>
      <c r="AB28" s="22"/>
      <c r="AC28" s="26"/>
      <c r="AD28" s="22">
        <v>232902</v>
      </c>
      <c r="AE28" s="26"/>
      <c r="AF28" s="22">
        <v>662207</v>
      </c>
      <c r="AG28" s="26">
        <v>584681</v>
      </c>
      <c r="AH28" s="22">
        <v>86064</v>
      </c>
      <c r="AI28" s="26">
        <v>15578</v>
      </c>
      <c r="AJ28" s="22"/>
      <c r="AK28" s="26"/>
      <c r="AL28" s="22"/>
      <c r="AM28" s="26"/>
      <c r="AN28" s="312"/>
      <c r="AO28" s="316"/>
      <c r="AP28" s="30"/>
      <c r="AQ28" s="31"/>
      <c r="AR28" s="32">
        <v>749</v>
      </c>
      <c r="AS28" s="33"/>
      <c r="AT28" s="22">
        <v>-212664</v>
      </c>
      <c r="AU28" s="26">
        <v>-242821</v>
      </c>
      <c r="AV28" s="16">
        <f t="shared" si="8"/>
        <v>677024</v>
      </c>
      <c r="AW28" s="497">
        <f t="shared" si="9"/>
        <v>660997</v>
      </c>
      <c r="AX28" s="32">
        <v>149868</v>
      </c>
      <c r="AY28" s="33"/>
      <c r="AZ28" s="16">
        <f t="shared" si="10"/>
        <v>826892</v>
      </c>
      <c r="BA28" s="497">
        <f t="shared" si="11"/>
        <v>660997</v>
      </c>
    </row>
    <row r="29" spans="1:53" ht="14.25">
      <c r="A29" s="308" t="s">
        <v>163</v>
      </c>
      <c r="B29" s="243"/>
      <c r="C29" s="499"/>
      <c r="D29" s="22"/>
      <c r="E29" s="26"/>
      <c r="F29" s="22"/>
      <c r="G29" s="26"/>
      <c r="H29" s="22">
        <v>789866</v>
      </c>
      <c r="I29" s="26">
        <v>748616</v>
      </c>
      <c r="J29" s="22"/>
      <c r="K29" s="26"/>
      <c r="L29" s="22"/>
      <c r="M29" s="26"/>
      <c r="N29" s="22">
        <v>-127285</v>
      </c>
      <c r="O29" s="26">
        <v>53503</v>
      </c>
      <c r="P29" s="22"/>
      <c r="Q29" s="26"/>
      <c r="R29" s="22">
        <v>29532</v>
      </c>
      <c r="S29" s="26">
        <v>-6446</v>
      </c>
      <c r="T29" s="22"/>
      <c r="U29" s="26"/>
      <c r="V29" s="22"/>
      <c r="W29" s="26"/>
      <c r="X29" s="25"/>
      <c r="Y29" s="26">
        <v>-20</v>
      </c>
      <c r="Z29" s="27"/>
      <c r="AA29" s="28"/>
      <c r="AB29" s="22"/>
      <c r="AC29" s="26"/>
      <c r="AD29" s="22"/>
      <c r="AE29" s="26"/>
      <c r="AF29" s="22"/>
      <c r="AG29" s="26">
        <v>5393719</v>
      </c>
      <c r="AH29" s="22"/>
      <c r="AI29" s="26"/>
      <c r="AJ29" s="22"/>
      <c r="AK29" s="26"/>
      <c r="AL29" s="22"/>
      <c r="AM29" s="26"/>
      <c r="AN29" s="312"/>
      <c r="AO29" s="316"/>
      <c r="AP29" s="30"/>
      <c r="AQ29" s="31"/>
      <c r="AR29" s="32"/>
      <c r="AS29" s="33"/>
      <c r="AT29" s="22"/>
      <c r="AU29" s="26"/>
      <c r="AV29" s="16">
        <f t="shared" si="8"/>
        <v>692113</v>
      </c>
      <c r="AW29" s="497">
        <f t="shared" si="9"/>
        <v>6189372</v>
      </c>
      <c r="AX29" s="32"/>
      <c r="AY29" s="33"/>
      <c r="AZ29" s="16">
        <f t="shared" si="10"/>
        <v>692113</v>
      </c>
      <c r="BA29" s="497">
        <f t="shared" si="11"/>
        <v>6189372</v>
      </c>
    </row>
    <row r="30" spans="1:53" ht="14.25">
      <c r="A30" s="308" t="s">
        <v>610</v>
      </c>
      <c r="B30" s="243"/>
      <c r="C30" s="499"/>
      <c r="D30" s="22"/>
      <c r="E30" s="26"/>
      <c r="F30" s="22"/>
      <c r="G30" s="26"/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2"/>
      <c r="S30" s="26"/>
      <c r="T30" s="22"/>
      <c r="U30" s="26"/>
      <c r="V30" s="22"/>
      <c r="W30" s="26"/>
      <c r="X30" s="25"/>
      <c r="Y30" s="26"/>
      <c r="Z30" s="27"/>
      <c r="AA30" s="28"/>
      <c r="AB30" s="22"/>
      <c r="AC30" s="26"/>
      <c r="AD30" s="22"/>
      <c r="AE30" s="26"/>
      <c r="AF30" s="22"/>
      <c r="AG30" s="26"/>
      <c r="AH30" s="22"/>
      <c r="AI30" s="26"/>
      <c r="AJ30" s="22"/>
      <c r="AK30" s="26"/>
      <c r="AL30" s="22"/>
      <c r="AM30" s="26"/>
      <c r="AN30" s="313">
        <v>460683</v>
      </c>
      <c r="AO30" s="317">
        <v>-86336</v>
      </c>
      <c r="AP30" s="30">
        <v>-83284</v>
      </c>
      <c r="AQ30" s="31">
        <v>-90470</v>
      </c>
      <c r="AR30" s="32"/>
      <c r="AS30" s="33"/>
      <c r="AT30" s="22"/>
      <c r="AU30" s="26"/>
      <c r="AV30" s="16">
        <f t="shared" si="8"/>
        <v>377399</v>
      </c>
      <c r="AW30" s="497">
        <f t="shared" si="9"/>
        <v>-176806</v>
      </c>
      <c r="AX30" s="32"/>
      <c r="AY30" s="33"/>
      <c r="AZ30" s="16">
        <f t="shared" si="10"/>
        <v>377399</v>
      </c>
      <c r="BA30" s="497">
        <f t="shared" si="11"/>
        <v>-176806</v>
      </c>
    </row>
    <row r="31" spans="1:53" s="1191" customFormat="1" ht="13.5">
      <c r="A31" s="1681" t="s">
        <v>609</v>
      </c>
      <c r="B31" s="242">
        <v>1256183</v>
      </c>
      <c r="C31" s="498">
        <f>C27</f>
        <v>1044296</v>
      </c>
      <c r="D31" s="38">
        <v>-786665</v>
      </c>
      <c r="E31" s="41">
        <v>-784467</v>
      </c>
      <c r="F31" s="38">
        <v>531883</v>
      </c>
      <c r="G31" s="41"/>
      <c r="H31" s="38"/>
      <c r="I31" s="41"/>
      <c r="J31" s="40">
        <v>-398563</v>
      </c>
      <c r="K31" s="539">
        <v>-2148044</v>
      </c>
      <c r="L31" s="38">
        <f>L27</f>
        <v>1651967</v>
      </c>
      <c r="M31" s="38">
        <v>1050875</v>
      </c>
      <c r="N31" s="38">
        <v>851827</v>
      </c>
      <c r="O31" s="41"/>
      <c r="P31" s="38">
        <v>-2706266</v>
      </c>
      <c r="Q31" s="41">
        <f>Q27</f>
        <v>-2851548</v>
      </c>
      <c r="R31" s="38">
        <v>149860</v>
      </c>
      <c r="S31" s="41">
        <v>282546</v>
      </c>
      <c r="T31" s="38">
        <f>T27</f>
        <v>-1950741</v>
      </c>
      <c r="U31" s="41">
        <v>-1555124</v>
      </c>
      <c r="V31" s="38">
        <v>12767939</v>
      </c>
      <c r="W31" s="41">
        <v>12952662</v>
      </c>
      <c r="X31" s="40">
        <v>11389262</v>
      </c>
      <c r="Y31" s="41">
        <v>10669794</v>
      </c>
      <c r="Z31" s="1192">
        <v>1327724</v>
      </c>
      <c r="AA31" s="1682">
        <v>1478323</v>
      </c>
      <c r="AB31" s="38">
        <v>615708</v>
      </c>
      <c r="AC31" s="41">
        <v>-974181.24</v>
      </c>
      <c r="AD31" s="38">
        <v>5072351</v>
      </c>
      <c r="AE31" s="41">
        <v>6081779</v>
      </c>
      <c r="AF31" s="38">
        <v>5564212</v>
      </c>
      <c r="AG31" s="41"/>
      <c r="AH31" s="38">
        <v>1431125</v>
      </c>
      <c r="AI31" s="41">
        <v>927713</v>
      </c>
      <c r="AJ31" s="38">
        <v>254637</v>
      </c>
      <c r="AK31" s="41">
        <v>350609</v>
      </c>
      <c r="AL31" s="38"/>
      <c r="AM31" s="41"/>
      <c r="AN31" s="315">
        <v>13267964</v>
      </c>
      <c r="AO31" s="319">
        <v>14221831</v>
      </c>
      <c r="AP31" s="1194">
        <v>622614</v>
      </c>
      <c r="AQ31" s="1195">
        <v>353016</v>
      </c>
      <c r="AR31" s="1683">
        <v>1015299</v>
      </c>
      <c r="AS31" s="1684">
        <v>592492</v>
      </c>
      <c r="AT31" s="38">
        <v>327646</v>
      </c>
      <c r="AU31" s="41">
        <v>440699</v>
      </c>
      <c r="AV31" s="16">
        <f t="shared" si="8"/>
        <v>52255966</v>
      </c>
      <c r="AW31" s="1680">
        <f t="shared" si="9"/>
        <v>42133270.760000005</v>
      </c>
      <c r="AX31" s="34">
        <v>26884966</v>
      </c>
      <c r="AY31" s="35"/>
      <c r="AZ31" s="16">
        <f t="shared" si="10"/>
        <v>79140932</v>
      </c>
      <c r="BA31" s="1680">
        <f t="shared" si="11"/>
        <v>42133270.760000005</v>
      </c>
    </row>
    <row r="32" spans="1:53" ht="14.25">
      <c r="A32" s="309" t="s">
        <v>164</v>
      </c>
      <c r="B32" s="242"/>
      <c r="C32" s="498"/>
      <c r="D32" s="38"/>
      <c r="E32" s="41"/>
      <c r="F32" s="38"/>
      <c r="G32" s="41"/>
      <c r="H32" s="38"/>
      <c r="I32" s="41"/>
      <c r="J32" s="38"/>
      <c r="K32" s="41"/>
      <c r="L32" s="38"/>
      <c r="M32" s="41"/>
      <c r="N32" s="38"/>
      <c r="O32" s="41"/>
      <c r="P32" s="327"/>
      <c r="Q32" s="41"/>
      <c r="R32" s="38"/>
      <c r="S32" s="41"/>
      <c r="T32" s="38"/>
      <c r="U32" s="41"/>
      <c r="V32" s="38"/>
      <c r="W32" s="41"/>
      <c r="X32" s="40"/>
      <c r="Y32" s="41"/>
      <c r="Z32" s="27"/>
      <c r="AA32" s="28"/>
      <c r="AB32" s="38"/>
      <c r="AC32" s="41"/>
      <c r="AD32" s="42"/>
      <c r="AE32" s="43"/>
      <c r="AF32" s="38"/>
      <c r="AG32" s="41"/>
      <c r="AH32" s="38"/>
      <c r="AI32" s="41"/>
      <c r="AJ32" s="38"/>
      <c r="AK32" s="41"/>
      <c r="AL32" s="22"/>
      <c r="AM32" s="26"/>
      <c r="AN32" s="312"/>
      <c r="AO32" s="316"/>
      <c r="AP32" s="30"/>
      <c r="AQ32" s="31"/>
      <c r="AR32" s="32"/>
      <c r="AS32" s="33"/>
      <c r="AT32" s="38"/>
      <c r="AU32" s="41"/>
      <c r="AV32" s="16">
        <f t="shared" si="8"/>
        <v>0</v>
      </c>
      <c r="AW32" s="497">
        <f t="shared" si="9"/>
        <v>0</v>
      </c>
      <c r="AX32" s="38"/>
      <c r="AY32" s="41"/>
      <c r="AZ32" s="16">
        <f t="shared" si="10"/>
        <v>0</v>
      </c>
      <c r="BA32" s="497">
        <f t="shared" si="11"/>
        <v>0</v>
      </c>
    </row>
    <row r="33" spans="1:53" ht="28.5">
      <c r="A33" s="308" t="s">
        <v>165</v>
      </c>
      <c r="B33" s="243">
        <v>-2385817</v>
      </c>
      <c r="C33" s="499">
        <v>-1129634</v>
      </c>
      <c r="D33" s="22">
        <v>-4584077</v>
      </c>
      <c r="E33" s="26">
        <v>-5370742</v>
      </c>
      <c r="F33" s="22">
        <v>-13505451</v>
      </c>
      <c r="G33" s="26"/>
      <c r="H33" s="22">
        <v>79646821</v>
      </c>
      <c r="I33" s="26">
        <v>83393631</v>
      </c>
      <c r="J33" s="22">
        <v>-24529658</v>
      </c>
      <c r="K33" s="26">
        <v>-24928221</v>
      </c>
      <c r="L33" s="22">
        <v>-1597759</v>
      </c>
      <c r="M33" s="26">
        <v>54208</v>
      </c>
      <c r="N33" s="22">
        <v>-2480527</v>
      </c>
      <c r="O33" s="26">
        <v>-1628700</v>
      </c>
      <c r="P33" s="38">
        <v>-8375165</v>
      </c>
      <c r="Q33" s="26">
        <v>-11081431</v>
      </c>
      <c r="R33" s="22">
        <v>-7408329</v>
      </c>
      <c r="S33" s="26">
        <v>-7258469</v>
      </c>
      <c r="T33" s="22">
        <v>-14682622</v>
      </c>
      <c r="U33" s="26">
        <v>-16633363</v>
      </c>
      <c r="V33" s="22">
        <v>23936526</v>
      </c>
      <c r="W33" s="26">
        <v>32740263</v>
      </c>
      <c r="X33" s="25">
        <v>16933615</v>
      </c>
      <c r="Y33" s="26">
        <v>19842696</v>
      </c>
      <c r="Z33" s="32">
        <v>-201512</v>
      </c>
      <c r="AA33" s="33">
        <v>1126212</v>
      </c>
      <c r="AB33" s="22">
        <v>-1584371</v>
      </c>
      <c r="AC33" s="26">
        <v>-1018662.82</v>
      </c>
      <c r="AD33" s="22">
        <v>16758003</v>
      </c>
      <c r="AE33" s="26">
        <v>21830354</v>
      </c>
      <c r="AF33" s="22">
        <v>6762696</v>
      </c>
      <c r="AG33" s="26">
        <v>7538522</v>
      </c>
      <c r="AH33" s="22">
        <v>-9376475</v>
      </c>
      <c r="AI33" s="26">
        <v>-7945350</v>
      </c>
      <c r="AJ33" s="22">
        <v>-2578727</v>
      </c>
      <c r="AK33" s="26">
        <v>-2324090</v>
      </c>
      <c r="AL33" s="22"/>
      <c r="AM33" s="26"/>
      <c r="AN33" s="313">
        <v>53744580</v>
      </c>
      <c r="AO33" s="317">
        <v>64601438</v>
      </c>
      <c r="AP33" s="30">
        <v>4057512</v>
      </c>
      <c r="AQ33" s="31">
        <v>4463880</v>
      </c>
      <c r="AR33" s="32">
        <v>-226636</v>
      </c>
      <c r="AS33" s="33">
        <v>726224</v>
      </c>
      <c r="AT33" s="22">
        <v>573340</v>
      </c>
      <c r="AU33" s="26">
        <v>900986</v>
      </c>
      <c r="AV33" s="16">
        <f t="shared" si="8"/>
        <v>108895967</v>
      </c>
      <c r="AW33" s="497">
        <f t="shared" si="9"/>
        <v>157899751.18</v>
      </c>
      <c r="AX33" s="22"/>
      <c r="AY33" s="26"/>
      <c r="AZ33" s="16">
        <f t="shared" si="10"/>
        <v>108895967</v>
      </c>
      <c r="BA33" s="497">
        <f t="shared" si="11"/>
        <v>157899751.18</v>
      </c>
    </row>
    <row r="34" spans="1:53" ht="28.5">
      <c r="A34" s="308" t="s">
        <v>166</v>
      </c>
      <c r="B34" s="243"/>
      <c r="C34" s="499"/>
      <c r="D34" s="22"/>
      <c r="E34" s="26"/>
      <c r="F34" s="22"/>
      <c r="G34" s="26"/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2"/>
      <c r="S34" s="26"/>
      <c r="T34" s="22"/>
      <c r="U34" s="26"/>
      <c r="V34" s="22">
        <v>-3288293</v>
      </c>
      <c r="W34" s="26"/>
      <c r="X34" s="25">
        <v>2296935</v>
      </c>
      <c r="Y34" s="26">
        <v>1148672</v>
      </c>
      <c r="Z34" s="32"/>
      <c r="AA34" s="33">
        <v>-372000</v>
      </c>
      <c r="AB34" s="22"/>
      <c r="AC34" s="26"/>
      <c r="AD34" s="22"/>
      <c r="AE34" s="26"/>
      <c r="AF34" s="22">
        <v>2340952</v>
      </c>
      <c r="AG34" s="26">
        <v>3780061</v>
      </c>
      <c r="AH34" s="22"/>
      <c r="AI34" s="26"/>
      <c r="AJ34" s="22"/>
      <c r="AK34" s="26"/>
      <c r="AL34" s="22"/>
      <c r="AM34" s="26"/>
      <c r="AN34" s="314">
        <v>2000000</v>
      </c>
      <c r="AO34" s="318"/>
      <c r="AP34" s="30">
        <v>179375</v>
      </c>
      <c r="AQ34" s="31">
        <v>93275</v>
      </c>
      <c r="AR34" s="32">
        <v>51793</v>
      </c>
      <c r="AS34" s="33"/>
      <c r="AT34" s="22"/>
      <c r="AU34" s="26"/>
      <c r="AV34" s="16">
        <f t="shared" si="8"/>
        <v>3580762</v>
      </c>
      <c r="AW34" s="497">
        <f t="shared" si="9"/>
        <v>4650008</v>
      </c>
      <c r="AX34" s="22"/>
      <c r="AY34" s="26"/>
      <c r="AZ34" s="16">
        <f t="shared" si="10"/>
        <v>3580762</v>
      </c>
      <c r="BA34" s="497">
        <f t="shared" si="11"/>
        <v>4650008</v>
      </c>
    </row>
    <row r="35" spans="1:53" ht="28.5">
      <c r="A35" s="310" t="s">
        <v>167</v>
      </c>
      <c r="B35" s="243"/>
      <c r="C35" s="499"/>
      <c r="D35" s="22"/>
      <c r="E35" s="26"/>
      <c r="F35" s="22"/>
      <c r="G35" s="26"/>
      <c r="H35" s="22">
        <v>1054963</v>
      </c>
      <c r="I35" s="26">
        <v>1054963</v>
      </c>
      <c r="J35" s="22"/>
      <c r="K35" s="26"/>
      <c r="L35" s="22"/>
      <c r="M35" s="26"/>
      <c r="N35" s="22"/>
      <c r="O35" s="26"/>
      <c r="P35" s="22"/>
      <c r="Q35" s="26"/>
      <c r="R35" s="22"/>
      <c r="S35" s="26"/>
      <c r="T35" s="22"/>
      <c r="U35" s="26"/>
      <c r="V35" s="22"/>
      <c r="W35" s="26"/>
      <c r="X35" s="25">
        <v>4737332</v>
      </c>
      <c r="Y35" s="26">
        <v>2225551</v>
      </c>
      <c r="Z35" s="32"/>
      <c r="AA35" s="33">
        <v>-800000</v>
      </c>
      <c r="AB35" s="22"/>
      <c r="AC35" s="26"/>
      <c r="AD35" s="22"/>
      <c r="AE35" s="26"/>
      <c r="AF35" s="22">
        <v>1630991</v>
      </c>
      <c r="AG35" s="26">
        <v>2647962</v>
      </c>
      <c r="AH35" s="22"/>
      <c r="AI35" s="26"/>
      <c r="AJ35" s="22"/>
      <c r="AK35" s="26"/>
      <c r="AL35" s="22"/>
      <c r="AM35" s="26"/>
      <c r="AN35" s="314"/>
      <c r="AO35" s="318"/>
      <c r="AP35" s="30"/>
      <c r="AQ35" s="31"/>
      <c r="AR35" s="32"/>
      <c r="AS35" s="33"/>
      <c r="AT35" s="22"/>
      <c r="AU35" s="26"/>
      <c r="AV35" s="16">
        <f t="shared" si="8"/>
        <v>7423286</v>
      </c>
      <c r="AW35" s="497">
        <f t="shared" si="9"/>
        <v>5128476</v>
      </c>
      <c r="AX35" s="22">
        <v>26605954</v>
      </c>
      <c r="AY35" s="26"/>
      <c r="AZ35" s="16">
        <f t="shared" si="10"/>
        <v>34029240</v>
      </c>
      <c r="BA35" s="497">
        <f t="shared" si="11"/>
        <v>5128476</v>
      </c>
    </row>
    <row r="36" spans="1:53" ht="14.25">
      <c r="A36" s="308" t="s">
        <v>168</v>
      </c>
      <c r="B36" s="243"/>
      <c r="C36" s="499"/>
      <c r="D36" s="22"/>
      <c r="E36" s="26"/>
      <c r="F36" s="22"/>
      <c r="G36" s="26"/>
      <c r="H36" s="22">
        <v>216851</v>
      </c>
      <c r="I36" s="26">
        <v>216851</v>
      </c>
      <c r="J36" s="22"/>
      <c r="K36" s="26"/>
      <c r="L36" s="22"/>
      <c r="M36" s="26"/>
      <c r="N36" s="22"/>
      <c r="O36" s="26"/>
      <c r="P36" s="22"/>
      <c r="Q36" s="26"/>
      <c r="R36" s="22"/>
      <c r="S36" s="26"/>
      <c r="T36" s="22"/>
      <c r="U36" s="26"/>
      <c r="V36" s="22">
        <v>-675909</v>
      </c>
      <c r="W36" s="26"/>
      <c r="X36" s="25">
        <v>1445914</v>
      </c>
      <c r="Y36" s="26">
        <v>693581</v>
      </c>
      <c r="Z36" s="32"/>
      <c r="AA36" s="33">
        <v>-240908</v>
      </c>
      <c r="AB36" s="22"/>
      <c r="AC36" s="26"/>
      <c r="AD36" s="22"/>
      <c r="AE36" s="26"/>
      <c r="AF36" s="22">
        <v>816444</v>
      </c>
      <c r="AG36" s="26">
        <v>1321299</v>
      </c>
      <c r="AH36" s="22"/>
      <c r="AI36" s="26"/>
      <c r="AJ36" s="22"/>
      <c r="AK36" s="26"/>
      <c r="AL36" s="22"/>
      <c r="AM36" s="26"/>
      <c r="AN36" s="314">
        <v>411106</v>
      </c>
      <c r="AO36" s="318"/>
      <c r="AP36" s="30">
        <v>36871</v>
      </c>
      <c r="AQ36" s="31">
        <v>19173</v>
      </c>
      <c r="AR36" s="32">
        <v>10646</v>
      </c>
      <c r="AS36" s="33">
        <v>32371</v>
      </c>
      <c r="AT36" s="22"/>
      <c r="AU36" s="26"/>
      <c r="AV36" s="16">
        <f t="shared" si="8"/>
        <v>2261923</v>
      </c>
      <c r="AW36" s="497">
        <f t="shared" si="9"/>
        <v>2042367</v>
      </c>
      <c r="AX36" s="22"/>
      <c r="AY36" s="26"/>
      <c r="AZ36" s="16">
        <f t="shared" si="10"/>
        <v>2261923</v>
      </c>
      <c r="BA36" s="497">
        <f t="shared" si="11"/>
        <v>2042367</v>
      </c>
    </row>
    <row r="37" spans="1:53" ht="28.5">
      <c r="A37" s="308" t="s">
        <v>169</v>
      </c>
      <c r="B37" s="242"/>
      <c r="C37" s="498"/>
      <c r="D37" s="42"/>
      <c r="E37" s="43"/>
      <c r="F37" s="42"/>
      <c r="G37" s="43"/>
      <c r="H37" s="42"/>
      <c r="I37" s="43"/>
      <c r="J37" s="42"/>
      <c r="K37" s="43">
        <v>747</v>
      </c>
      <c r="L37" s="42"/>
      <c r="M37" s="43"/>
      <c r="N37" s="42"/>
      <c r="O37" s="43"/>
      <c r="P37" s="42"/>
      <c r="Q37" s="43"/>
      <c r="R37" s="42"/>
      <c r="S37" s="43"/>
      <c r="T37" s="42"/>
      <c r="U37" s="43"/>
      <c r="V37" s="42"/>
      <c r="W37" s="43"/>
      <c r="X37" s="40"/>
      <c r="Y37" s="43"/>
      <c r="Z37" s="244"/>
      <c r="AA37" s="256"/>
      <c r="AB37" s="42">
        <v>-50000</v>
      </c>
      <c r="AC37" s="43"/>
      <c r="AD37" s="42"/>
      <c r="AE37" s="43"/>
      <c r="AF37" s="42"/>
      <c r="AG37" s="43"/>
      <c r="AH37" s="42"/>
      <c r="AI37" s="43"/>
      <c r="AJ37" s="42"/>
      <c r="AK37" s="43"/>
      <c r="AL37" s="245"/>
      <c r="AM37" s="508"/>
      <c r="AN37" s="314"/>
      <c r="AO37" s="318"/>
      <c r="AP37" s="246"/>
      <c r="AQ37" s="322"/>
      <c r="AR37" s="247"/>
      <c r="AS37" s="325">
        <v>6654</v>
      </c>
      <c r="AT37" s="42"/>
      <c r="AU37" s="43"/>
      <c r="AV37" s="16">
        <f t="shared" si="8"/>
        <v>-50000</v>
      </c>
      <c r="AW37" s="497">
        <f t="shared" si="9"/>
        <v>7401</v>
      </c>
      <c r="AX37" s="42">
        <v>279012</v>
      </c>
      <c r="AY37" s="43"/>
      <c r="AZ37" s="16">
        <f t="shared" si="10"/>
        <v>229012</v>
      </c>
      <c r="BA37" s="497">
        <f t="shared" si="11"/>
        <v>7401</v>
      </c>
    </row>
    <row r="38" spans="1:53" ht="28.5">
      <c r="A38" s="1058" t="s">
        <v>430</v>
      </c>
      <c r="B38" s="1060"/>
      <c r="C38" s="1061"/>
      <c r="D38" s="1063"/>
      <c r="E38" s="1064"/>
      <c r="F38" s="1063"/>
      <c r="G38" s="1064"/>
      <c r="H38" s="1063"/>
      <c r="I38" s="1064"/>
      <c r="J38" s="1063"/>
      <c r="K38" s="1064"/>
      <c r="L38" s="1063"/>
      <c r="M38" s="1064"/>
      <c r="N38" s="1063"/>
      <c r="O38" s="1064"/>
      <c r="P38" s="1063"/>
      <c r="Q38" s="1064"/>
      <c r="R38" s="1063"/>
      <c r="S38" s="1064"/>
      <c r="T38" s="1063"/>
      <c r="U38" s="1064"/>
      <c r="V38" s="1063"/>
      <c r="W38" s="1064"/>
      <c r="X38" s="1062"/>
      <c r="Y38" s="1064"/>
      <c r="Z38" s="1065"/>
      <c r="AA38" s="1066"/>
      <c r="AB38" s="1063"/>
      <c r="AC38" s="1064"/>
      <c r="AD38" s="1063"/>
      <c r="AE38" s="1064"/>
      <c r="AF38" s="1063"/>
      <c r="AG38" s="1064"/>
      <c r="AH38" s="1063"/>
      <c r="AI38" s="1064"/>
      <c r="AJ38" s="1063"/>
      <c r="AK38" s="1064"/>
      <c r="AL38" s="1067"/>
      <c r="AM38" s="1068"/>
      <c r="AN38" s="1069"/>
      <c r="AO38" s="1070"/>
      <c r="AP38" s="1071"/>
      <c r="AQ38" s="1072"/>
      <c r="AR38" s="1073"/>
      <c r="AS38" s="1074"/>
      <c r="AT38" s="1063"/>
      <c r="AU38" s="1064"/>
      <c r="AV38" s="1059"/>
      <c r="AW38" s="1076"/>
      <c r="AX38" s="1063"/>
      <c r="AY38" s="1064"/>
      <c r="AZ38" s="1075"/>
      <c r="BA38" s="1061"/>
    </row>
    <row r="39" spans="1:53" s="759" customFormat="1" ht="27.75" thickBot="1">
      <c r="A39" s="753" t="s">
        <v>170</v>
      </c>
      <c r="B39" s="754">
        <f aca="true" t="shared" si="12" ref="B39:G39">B31+B33</f>
        <v>-1129634</v>
      </c>
      <c r="C39" s="755">
        <f t="shared" si="12"/>
        <v>-85338</v>
      </c>
      <c r="D39" s="754">
        <f t="shared" si="12"/>
        <v>-5370742</v>
      </c>
      <c r="E39" s="755">
        <f t="shared" si="12"/>
        <v>-6155209</v>
      </c>
      <c r="F39" s="754">
        <f t="shared" si="12"/>
        <v>-12973568</v>
      </c>
      <c r="G39" s="755">
        <f t="shared" si="12"/>
        <v>0</v>
      </c>
      <c r="H39" s="754">
        <v>83393632</v>
      </c>
      <c r="I39" s="755">
        <v>86617668</v>
      </c>
      <c r="J39" s="754">
        <f aca="true" t="shared" si="13" ref="J39:U39">J31+J33</f>
        <v>-24928221</v>
      </c>
      <c r="K39" s="755">
        <f t="shared" si="13"/>
        <v>-27076265</v>
      </c>
      <c r="L39" s="754">
        <f t="shared" si="13"/>
        <v>54208</v>
      </c>
      <c r="M39" s="755">
        <f t="shared" si="13"/>
        <v>1105083</v>
      </c>
      <c r="N39" s="754">
        <f t="shared" si="13"/>
        <v>-1628700</v>
      </c>
      <c r="O39" s="755">
        <v>-2973027</v>
      </c>
      <c r="P39" s="754">
        <f t="shared" si="13"/>
        <v>-11081431</v>
      </c>
      <c r="Q39" s="755">
        <f t="shared" si="13"/>
        <v>-13932979</v>
      </c>
      <c r="R39" s="754">
        <f t="shared" si="13"/>
        <v>-7258469</v>
      </c>
      <c r="S39" s="755">
        <f t="shared" si="13"/>
        <v>-6975923</v>
      </c>
      <c r="T39" s="754">
        <f t="shared" si="13"/>
        <v>-16633363</v>
      </c>
      <c r="U39" s="755">
        <f t="shared" si="13"/>
        <v>-18188487</v>
      </c>
      <c r="V39" s="754">
        <v>32740263</v>
      </c>
      <c r="W39" s="755">
        <v>45692925</v>
      </c>
      <c r="X39" s="756">
        <v>19842696</v>
      </c>
      <c r="Y39" s="755">
        <v>26444686</v>
      </c>
      <c r="Z39" s="754">
        <f aca="true" t="shared" si="14" ref="Z39:AE39">Z31+Z33</f>
        <v>1126212</v>
      </c>
      <c r="AA39" s="755">
        <v>1191627</v>
      </c>
      <c r="AB39" s="754">
        <v>-1018662</v>
      </c>
      <c r="AC39" s="755">
        <v>-1992844.06</v>
      </c>
      <c r="AD39" s="754">
        <f t="shared" si="14"/>
        <v>21830354</v>
      </c>
      <c r="AE39" s="755">
        <f t="shared" si="14"/>
        <v>27912133</v>
      </c>
      <c r="AF39" s="754">
        <v>7538521</v>
      </c>
      <c r="AG39" s="755">
        <v>5182919</v>
      </c>
      <c r="AH39" s="754">
        <f aca="true" t="shared" si="15" ref="AH39:AM39">AH31+AH33</f>
        <v>-7945350</v>
      </c>
      <c r="AI39" s="755">
        <f t="shared" si="15"/>
        <v>-7017637</v>
      </c>
      <c r="AJ39" s="754">
        <f t="shared" si="15"/>
        <v>-2324090</v>
      </c>
      <c r="AK39" s="755">
        <f t="shared" si="15"/>
        <v>-1973481</v>
      </c>
      <c r="AL39" s="754">
        <f t="shared" si="15"/>
        <v>0</v>
      </c>
      <c r="AM39" s="755">
        <f t="shared" si="15"/>
        <v>0</v>
      </c>
      <c r="AN39" s="754">
        <v>64601438</v>
      </c>
      <c r="AO39" s="755">
        <v>78823269</v>
      </c>
      <c r="AP39" s="755">
        <v>4463880</v>
      </c>
      <c r="AQ39" s="755">
        <v>4704449</v>
      </c>
      <c r="AR39" s="754">
        <v>726224</v>
      </c>
      <c r="AS39" s="755">
        <v>1279691</v>
      </c>
      <c r="AT39" s="754">
        <f>AT31+AT33</f>
        <v>900986</v>
      </c>
      <c r="AU39" s="755">
        <f>AU31+AU33</f>
        <v>1341685</v>
      </c>
      <c r="AV39" s="757">
        <f>SUM(B39+D39+F39+H39+J39+L39+N39+P39+R39+T39+V39+X39+Z39+AB39+AD39+AF39+AH39+AJ39+AL39+AN39+AP39+AR39+AT39)</f>
        <v>144926184</v>
      </c>
      <c r="AW39" s="758">
        <f>SUM(C39+E39+G39+I39+K39+M39+O39+Q39+S39+U39+W39+Y39+AA39+AC39+AE39+AG39+AI39+AK39+AM39+AO39+AQ39+AS39+AU39)</f>
        <v>193924944.94</v>
      </c>
      <c r="AX39" s="754">
        <f>AX31+AX33</f>
        <v>26884966</v>
      </c>
      <c r="AY39" s="755">
        <f>AY31+AY33</f>
        <v>0</v>
      </c>
      <c r="AZ39" s="754">
        <f>AZ31+AZ33</f>
        <v>188036899</v>
      </c>
      <c r="BA39" s="755">
        <f>BA31+BA33</f>
        <v>200033021.94</v>
      </c>
    </row>
    <row r="40" spans="1:53" s="65" customFormat="1" ht="28.5">
      <c r="A40" s="509" t="s">
        <v>171</v>
      </c>
      <c r="B40" s="510">
        <v>0.66</v>
      </c>
      <c r="C40" s="511">
        <v>0.55</v>
      </c>
      <c r="D40" s="332"/>
      <c r="E40" s="1153"/>
      <c r="F40" s="522">
        <v>0.27</v>
      </c>
      <c r="G40" s="333"/>
      <c r="H40" s="512"/>
      <c r="I40" s="1153"/>
      <c r="J40" s="332">
        <v>0.16</v>
      </c>
      <c r="K40" s="333">
        <v>0.82</v>
      </c>
      <c r="L40" s="332"/>
      <c r="M40" s="333"/>
      <c r="N40" s="332"/>
      <c r="O40" s="333">
        <v>-3.59</v>
      </c>
      <c r="P40" s="510">
        <v>-8.66</v>
      </c>
      <c r="Q40" s="511">
        <v>-9.12</v>
      </c>
      <c r="R40" s="332"/>
      <c r="S40" s="333"/>
      <c r="T40" s="332"/>
      <c r="U40" s="333"/>
      <c r="V40" s="332">
        <v>6.34</v>
      </c>
      <c r="W40" s="333">
        <v>6.42</v>
      </c>
      <c r="X40" s="512">
        <v>7.93</v>
      </c>
      <c r="Y40" s="333">
        <v>7.43</v>
      </c>
      <c r="Z40" s="513">
        <v>1.66</v>
      </c>
      <c r="AA40" s="514">
        <v>1.85</v>
      </c>
      <c r="AB40" s="332">
        <v>0.99</v>
      </c>
      <c r="AC40" s="333">
        <v>-1.55</v>
      </c>
      <c r="AD40" s="332">
        <v>9.94</v>
      </c>
      <c r="AE40" s="333">
        <v>11.92</v>
      </c>
      <c r="AF40" s="332"/>
      <c r="AG40" s="333"/>
      <c r="AH40" s="332"/>
      <c r="AI40" s="333"/>
      <c r="AJ40" s="332"/>
      <c r="AK40" s="333"/>
      <c r="AL40" s="332"/>
      <c r="AM40" s="333"/>
      <c r="AN40" s="515">
        <v>13.27</v>
      </c>
      <c r="AO40" s="516">
        <v>14.22</v>
      </c>
      <c r="AP40" s="517"/>
      <c r="AQ40" s="518"/>
      <c r="AR40" s="519">
        <v>3.92</v>
      </c>
      <c r="AS40" s="520">
        <v>2.29</v>
      </c>
      <c r="AT40" s="332"/>
      <c r="AU40" s="333"/>
      <c r="AV40" s="331"/>
      <c r="AW40" s="521"/>
      <c r="AX40" s="332"/>
      <c r="AY40" s="333"/>
      <c r="AZ40" s="332"/>
      <c r="BA40" s="333"/>
    </row>
    <row r="41" spans="1:53" ht="14.25">
      <c r="A41" s="308" t="s">
        <v>172</v>
      </c>
      <c r="B41" s="243"/>
      <c r="C41" s="499"/>
      <c r="D41" s="22"/>
      <c r="E41" s="23"/>
      <c r="F41" s="1596"/>
      <c r="G41" s="26"/>
      <c r="H41" s="25"/>
      <c r="I41" s="23"/>
      <c r="J41" s="22"/>
      <c r="K41" s="26"/>
      <c r="L41" s="22"/>
      <c r="M41" s="26"/>
      <c r="N41" s="22"/>
      <c r="O41" s="26"/>
      <c r="P41" s="22"/>
      <c r="Q41" s="26"/>
      <c r="R41" s="22"/>
      <c r="S41" s="26"/>
      <c r="T41" s="22"/>
      <c r="U41" s="26"/>
      <c r="V41" s="22"/>
      <c r="W41" s="26"/>
      <c r="X41" s="22"/>
      <c r="Y41" s="26"/>
      <c r="Z41" s="27"/>
      <c r="AA41" s="28"/>
      <c r="AB41" s="22"/>
      <c r="AC41" s="26"/>
      <c r="AD41" s="22"/>
      <c r="AE41" s="26">
        <v>10</v>
      </c>
      <c r="AF41" s="22"/>
      <c r="AG41" s="26"/>
      <c r="AH41" s="22"/>
      <c r="AI41" s="26"/>
      <c r="AJ41" s="22"/>
      <c r="AK41" s="26"/>
      <c r="AL41" s="22"/>
      <c r="AM41" s="26"/>
      <c r="AN41" s="312"/>
      <c r="AO41" s="316"/>
      <c r="AP41" s="30"/>
      <c r="AQ41" s="31"/>
      <c r="AR41" s="327"/>
      <c r="AS41" s="328"/>
      <c r="AT41" s="22"/>
      <c r="AU41" s="26"/>
      <c r="AV41" s="38"/>
      <c r="AW41" s="41"/>
      <c r="AX41" s="22"/>
      <c r="AY41" s="26"/>
      <c r="AZ41" s="22"/>
      <c r="BA41" s="26"/>
    </row>
    <row r="42" spans="1:53" ht="14.25">
      <c r="A42" s="310" t="s">
        <v>173</v>
      </c>
      <c r="B42" s="252"/>
      <c r="C42" s="501"/>
      <c r="D42" s="22"/>
      <c r="E42" s="23"/>
      <c r="F42" s="2"/>
      <c r="G42" s="4"/>
      <c r="H42" s="25"/>
      <c r="I42" s="23"/>
      <c r="J42" s="3"/>
      <c r="K42" s="4"/>
      <c r="L42" s="22"/>
      <c r="M42" s="26"/>
      <c r="N42" s="22"/>
      <c r="O42" s="26"/>
      <c r="P42" s="3"/>
      <c r="Q42" s="4"/>
      <c r="R42" s="22"/>
      <c r="S42" s="26"/>
      <c r="T42" s="22"/>
      <c r="U42" s="26"/>
      <c r="V42" s="3"/>
      <c r="W42" s="4"/>
      <c r="X42" s="22"/>
      <c r="Y42" s="26"/>
      <c r="Z42" s="253"/>
      <c r="AA42" s="505"/>
      <c r="AB42" s="3"/>
      <c r="AC42" s="4"/>
      <c r="AD42" s="3"/>
      <c r="AE42" s="4"/>
      <c r="AF42" s="22"/>
      <c r="AG42" s="26"/>
      <c r="AH42" s="22"/>
      <c r="AI42" s="26"/>
      <c r="AJ42" s="22"/>
      <c r="AK42" s="26"/>
      <c r="AL42" s="22"/>
      <c r="AM42" s="26"/>
      <c r="AN42" s="315"/>
      <c r="AO42" s="319"/>
      <c r="AP42" s="30"/>
      <c r="AQ42" s="31"/>
      <c r="AR42" s="251"/>
      <c r="AS42" s="326"/>
      <c r="AT42" s="22"/>
      <c r="AU42" s="26"/>
      <c r="AV42" s="38"/>
      <c r="AW42" s="41"/>
      <c r="AX42" s="22"/>
      <c r="AY42" s="26"/>
      <c r="AZ42" s="22"/>
      <c r="BA42" s="26"/>
    </row>
    <row r="43" spans="1:53" ht="15" thickBot="1">
      <c r="A43" s="311" t="s">
        <v>174</v>
      </c>
      <c r="B43" s="502"/>
      <c r="C43" s="503"/>
      <c r="D43" s="67"/>
      <c r="E43" s="1154"/>
      <c r="F43" s="1597"/>
      <c r="G43" s="68"/>
      <c r="H43" s="1595"/>
      <c r="I43" s="1154"/>
      <c r="J43" s="67"/>
      <c r="K43" s="68"/>
      <c r="L43" s="67"/>
      <c r="M43" s="68"/>
      <c r="N43" s="67"/>
      <c r="O43" s="68"/>
      <c r="P43" s="67"/>
      <c r="Q43" s="68"/>
      <c r="R43" s="67"/>
      <c r="S43" s="68"/>
      <c r="T43" s="67"/>
      <c r="U43" s="68"/>
      <c r="V43" s="74"/>
      <c r="W43" s="75">
        <v>6.41</v>
      </c>
      <c r="X43" s="67"/>
      <c r="Y43" s="68"/>
      <c r="Z43" s="506"/>
      <c r="AA43" s="507"/>
      <c r="AB43" s="67"/>
      <c r="AC43" s="68"/>
      <c r="AD43" s="69"/>
      <c r="AE43" s="70"/>
      <c r="AF43" s="67"/>
      <c r="AG43" s="68"/>
      <c r="AH43" s="67"/>
      <c r="AI43" s="68"/>
      <c r="AJ43" s="67"/>
      <c r="AK43" s="68"/>
      <c r="AL43" s="257"/>
      <c r="AM43" s="258"/>
      <c r="AN43" s="320"/>
      <c r="AO43" s="321"/>
      <c r="AP43" s="72"/>
      <c r="AQ43" s="73"/>
      <c r="AR43" s="329"/>
      <c r="AS43" s="330"/>
      <c r="AT43" s="67"/>
      <c r="AU43" s="68"/>
      <c r="AV43" s="67"/>
      <c r="AW43" s="68"/>
      <c r="AX43" s="67"/>
      <c r="AY43" s="68"/>
      <c r="AZ43" s="257"/>
      <c r="BA43" s="258"/>
    </row>
  </sheetData>
  <sheetProtection/>
  <mergeCells count="29">
    <mergeCell ref="AV3:AW3"/>
    <mergeCell ref="AZ3:BA3"/>
    <mergeCell ref="AX3:AY3"/>
    <mergeCell ref="AJ3:AK3"/>
    <mergeCell ref="AN3:AO3"/>
    <mergeCell ref="AP3:AQ3"/>
    <mergeCell ref="AR3:AS3"/>
    <mergeCell ref="AT3:AU3"/>
    <mergeCell ref="Z3:AA3"/>
    <mergeCell ref="AB3:AC3"/>
    <mergeCell ref="AD3:AE3"/>
    <mergeCell ref="AF3:AG3"/>
    <mergeCell ref="AH3:AI3"/>
    <mergeCell ref="A1:AY1"/>
    <mergeCell ref="A2:AY2"/>
    <mergeCell ref="A3:A4"/>
    <mergeCell ref="AL3:AM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19.8515625" defaultRowHeight="15"/>
  <cols>
    <col min="1" max="1" width="86.421875" style="76" bestFit="1" customWidth="1"/>
    <col min="2" max="17" width="12.8515625" style="76" bestFit="1" customWidth="1"/>
    <col min="18" max="18" width="12.8515625" style="76" customWidth="1"/>
    <col min="19" max="19" width="12.8515625" style="76" bestFit="1" customWidth="1"/>
    <col min="20" max="31" width="12.421875" style="76" bestFit="1" customWidth="1"/>
    <col min="32" max="49" width="12.8515625" style="76" bestFit="1" customWidth="1"/>
    <col min="50" max="53" width="12.421875" style="76" bestFit="1" customWidth="1"/>
    <col min="54" max="16384" width="19.8515625" style="76" customWidth="1"/>
  </cols>
  <sheetData>
    <row r="1" spans="1:51" ht="17.25">
      <c r="A1" s="1277" t="s">
        <v>437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  <c r="N1" s="1277"/>
      <c r="O1" s="1277"/>
      <c r="P1" s="1277"/>
      <c r="Q1" s="1277"/>
      <c r="R1" s="1277"/>
      <c r="S1" s="1277"/>
      <c r="T1" s="1277"/>
      <c r="U1" s="1277"/>
      <c r="V1" s="1277"/>
      <c r="W1" s="1277"/>
      <c r="X1" s="1277"/>
      <c r="Y1" s="1277"/>
      <c r="Z1" s="1277"/>
      <c r="AA1" s="1277"/>
      <c r="AB1" s="1277"/>
      <c r="AC1" s="1277"/>
      <c r="AD1" s="1277"/>
      <c r="AE1" s="1277"/>
      <c r="AF1" s="1277"/>
      <c r="AG1" s="1277"/>
      <c r="AH1" s="1277"/>
      <c r="AI1" s="1277"/>
      <c r="AJ1" s="1277"/>
      <c r="AK1" s="1277"/>
      <c r="AL1" s="1277"/>
      <c r="AM1" s="1277"/>
      <c r="AN1" s="1277"/>
      <c r="AO1" s="1277"/>
      <c r="AP1" s="1277"/>
      <c r="AQ1" s="1277"/>
      <c r="AR1" s="1277"/>
      <c r="AS1" s="1277"/>
      <c r="AT1" s="1277"/>
      <c r="AU1" s="1277"/>
      <c r="AV1" s="1277"/>
      <c r="AW1" s="1277"/>
      <c r="AX1" s="1277"/>
      <c r="AY1" s="1277"/>
    </row>
    <row r="2" spans="1:51" s="905" customFormat="1" ht="17.25" thickBot="1">
      <c r="A2" s="1278" t="s">
        <v>182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  <c r="AB2" s="1278"/>
      <c r="AC2" s="1278"/>
      <c r="AD2" s="1278"/>
      <c r="AE2" s="1278"/>
      <c r="AF2" s="1278"/>
      <c r="AG2" s="1278"/>
      <c r="AH2" s="1278"/>
      <c r="AI2" s="1278"/>
      <c r="AJ2" s="1278"/>
      <c r="AK2" s="1278"/>
      <c r="AL2" s="1278"/>
      <c r="AM2" s="1278"/>
      <c r="AN2" s="1278"/>
      <c r="AO2" s="1278"/>
      <c r="AP2" s="1278"/>
      <c r="AQ2" s="1278"/>
      <c r="AR2" s="1278"/>
      <c r="AS2" s="1278"/>
      <c r="AT2" s="1278"/>
      <c r="AU2" s="1278"/>
      <c r="AV2" s="1278"/>
      <c r="AW2" s="1278"/>
      <c r="AX2" s="1278"/>
      <c r="AY2" s="1278"/>
    </row>
    <row r="3" spans="1:53" s="1220" customFormat="1" ht="39" customHeight="1" thickBot="1">
      <c r="A3" s="1279" t="s">
        <v>14</v>
      </c>
      <c r="B3" s="1849" t="s">
        <v>184</v>
      </c>
      <c r="C3" s="1851"/>
      <c r="D3" s="1849" t="s">
        <v>185</v>
      </c>
      <c r="E3" s="1850"/>
      <c r="F3" s="1847" t="s">
        <v>186</v>
      </c>
      <c r="G3" s="1848"/>
      <c r="H3" s="1847" t="s">
        <v>187</v>
      </c>
      <c r="I3" s="1852"/>
      <c r="J3" s="1847" t="s">
        <v>188</v>
      </c>
      <c r="K3" s="1848"/>
      <c r="L3" s="1847" t="s">
        <v>189</v>
      </c>
      <c r="M3" s="1848"/>
      <c r="N3" s="1847" t="s">
        <v>527</v>
      </c>
      <c r="O3" s="1848"/>
      <c r="P3" s="1847" t="s">
        <v>190</v>
      </c>
      <c r="Q3" s="1848"/>
      <c r="R3" s="1847" t="s">
        <v>191</v>
      </c>
      <c r="S3" s="1848"/>
      <c r="T3" s="1847" t="s">
        <v>192</v>
      </c>
      <c r="U3" s="1848"/>
      <c r="V3" s="1847" t="s">
        <v>193</v>
      </c>
      <c r="W3" s="1848"/>
      <c r="X3" s="1847" t="s">
        <v>194</v>
      </c>
      <c r="Y3" s="1848"/>
      <c r="Z3" s="1847" t="s">
        <v>195</v>
      </c>
      <c r="AA3" s="1848"/>
      <c r="AB3" s="1847" t="s">
        <v>196</v>
      </c>
      <c r="AC3" s="1848"/>
      <c r="AD3" s="1853" t="s">
        <v>197</v>
      </c>
      <c r="AE3" s="1854"/>
      <c r="AF3" s="1847" t="s">
        <v>198</v>
      </c>
      <c r="AG3" s="1848"/>
      <c r="AH3" s="1847" t="s">
        <v>199</v>
      </c>
      <c r="AI3" s="1848"/>
      <c r="AJ3" s="1847" t="s">
        <v>200</v>
      </c>
      <c r="AK3" s="1848"/>
      <c r="AL3" s="1853" t="s">
        <v>201</v>
      </c>
      <c r="AM3" s="1854"/>
      <c r="AN3" s="1847" t="s">
        <v>202</v>
      </c>
      <c r="AO3" s="1848"/>
      <c r="AP3" s="1847" t="s">
        <v>203</v>
      </c>
      <c r="AQ3" s="1848"/>
      <c r="AR3" s="1847" t="s">
        <v>204</v>
      </c>
      <c r="AS3" s="1848"/>
      <c r="AT3" s="1847" t="s">
        <v>205</v>
      </c>
      <c r="AU3" s="1848"/>
      <c r="AV3" s="1847" t="s">
        <v>1</v>
      </c>
      <c r="AW3" s="1852"/>
      <c r="AX3" s="1853" t="s">
        <v>206</v>
      </c>
      <c r="AY3" s="1854"/>
      <c r="AZ3" s="1853" t="s">
        <v>2</v>
      </c>
      <c r="BA3" s="1854"/>
    </row>
    <row r="4" spans="1:53" s="684" customFormat="1" ht="17.25" thickBot="1">
      <c r="A4" s="1280"/>
      <c r="B4" s="1199" t="s">
        <v>277</v>
      </c>
      <c r="C4" s="1343" t="s">
        <v>446</v>
      </c>
      <c r="D4" s="1198" t="s">
        <v>277</v>
      </c>
      <c r="E4" s="1200" t="s">
        <v>446</v>
      </c>
      <c r="F4" s="1199" t="s">
        <v>277</v>
      </c>
      <c r="G4" s="1200" t="s">
        <v>446</v>
      </c>
      <c r="H4" s="1199" t="s">
        <v>277</v>
      </c>
      <c r="I4" s="1343" t="s">
        <v>446</v>
      </c>
      <c r="J4" s="1198" t="s">
        <v>277</v>
      </c>
      <c r="K4" s="1200" t="s">
        <v>446</v>
      </c>
      <c r="L4" s="1199" t="s">
        <v>277</v>
      </c>
      <c r="M4" s="1200" t="s">
        <v>446</v>
      </c>
      <c r="N4" s="1199" t="s">
        <v>277</v>
      </c>
      <c r="O4" s="1343" t="s">
        <v>446</v>
      </c>
      <c r="P4" s="1198" t="s">
        <v>277</v>
      </c>
      <c r="Q4" s="1200" t="s">
        <v>446</v>
      </c>
      <c r="R4" s="1199" t="s">
        <v>277</v>
      </c>
      <c r="S4" s="1200" t="s">
        <v>446</v>
      </c>
      <c r="T4" s="682" t="s">
        <v>277</v>
      </c>
      <c r="U4" s="683" t="s">
        <v>446</v>
      </c>
      <c r="V4" s="682" t="s">
        <v>277</v>
      </c>
      <c r="W4" s="683" t="s">
        <v>446</v>
      </c>
      <c r="X4" s="682" t="s">
        <v>277</v>
      </c>
      <c r="Y4" s="682" t="s">
        <v>446</v>
      </c>
      <c r="Z4" s="681" t="s">
        <v>277</v>
      </c>
      <c r="AA4" s="683" t="s">
        <v>446</v>
      </c>
      <c r="AB4" s="682" t="s">
        <v>277</v>
      </c>
      <c r="AC4" s="682" t="s">
        <v>446</v>
      </c>
      <c r="AD4" s="681" t="s">
        <v>277</v>
      </c>
      <c r="AE4" s="683" t="s">
        <v>446</v>
      </c>
      <c r="AF4" s="1199" t="s">
        <v>277</v>
      </c>
      <c r="AG4" s="1343" t="s">
        <v>446</v>
      </c>
      <c r="AH4" s="1198" t="s">
        <v>277</v>
      </c>
      <c r="AI4" s="1200" t="s">
        <v>446</v>
      </c>
      <c r="AJ4" s="1199" t="s">
        <v>277</v>
      </c>
      <c r="AK4" s="1200" t="s">
        <v>446</v>
      </c>
      <c r="AL4" s="1199" t="s">
        <v>277</v>
      </c>
      <c r="AM4" s="1343" t="s">
        <v>446</v>
      </c>
      <c r="AN4" s="1198" t="s">
        <v>277</v>
      </c>
      <c r="AO4" s="1200" t="s">
        <v>446</v>
      </c>
      <c r="AP4" s="1199" t="s">
        <v>277</v>
      </c>
      <c r="AQ4" s="1200" t="s">
        <v>446</v>
      </c>
      <c r="AR4" s="1199" t="s">
        <v>277</v>
      </c>
      <c r="AS4" s="1343" t="s">
        <v>446</v>
      </c>
      <c r="AT4" s="1198" t="s">
        <v>277</v>
      </c>
      <c r="AU4" s="1200" t="s">
        <v>446</v>
      </c>
      <c r="AV4" s="1199" t="s">
        <v>277</v>
      </c>
      <c r="AW4" s="1200" t="s">
        <v>446</v>
      </c>
      <c r="AX4" s="681" t="s">
        <v>277</v>
      </c>
      <c r="AY4" s="683" t="s">
        <v>446</v>
      </c>
      <c r="AZ4" s="682" t="s">
        <v>277</v>
      </c>
      <c r="BA4" s="683" t="s">
        <v>446</v>
      </c>
    </row>
    <row r="5" spans="1:53" ht="17.25">
      <c r="A5" s="266" t="s">
        <v>3</v>
      </c>
      <c r="B5" s="597">
        <v>813</v>
      </c>
      <c r="C5" s="598">
        <v>795</v>
      </c>
      <c r="D5" s="599">
        <v>-0.09</v>
      </c>
      <c r="E5" s="602">
        <v>0.03</v>
      </c>
      <c r="F5" s="600">
        <v>69.47</v>
      </c>
      <c r="G5" s="602"/>
      <c r="H5" s="600">
        <v>1246</v>
      </c>
      <c r="I5" s="601">
        <v>1142</v>
      </c>
      <c r="J5" s="599">
        <v>219</v>
      </c>
      <c r="K5" s="602">
        <v>212</v>
      </c>
      <c r="L5" s="600"/>
      <c r="M5" s="601">
        <v>0.51</v>
      </c>
      <c r="N5" s="600">
        <v>102.37</v>
      </c>
      <c r="O5" s="602">
        <v>64.43</v>
      </c>
      <c r="P5" s="603">
        <v>204.66</v>
      </c>
      <c r="Q5" s="604">
        <v>182.13</v>
      </c>
      <c r="R5" s="48">
        <v>396.26</v>
      </c>
      <c r="S5" s="57">
        <v>423.05</v>
      </c>
      <c r="T5" s="48">
        <v>72.81</v>
      </c>
      <c r="U5" s="1019">
        <v>50.63</v>
      </c>
      <c r="V5" s="48">
        <v>1052.01</v>
      </c>
      <c r="W5" s="57">
        <v>1125.39</v>
      </c>
      <c r="X5" s="48">
        <v>1772.9</v>
      </c>
      <c r="Y5" s="1019">
        <v>1724.5</v>
      </c>
      <c r="Z5" s="1022">
        <v>47.02</v>
      </c>
      <c r="AA5" s="605">
        <v>19.26</v>
      </c>
      <c r="AB5" s="600">
        <v>16.17</v>
      </c>
      <c r="AC5" s="601">
        <v>22.83</v>
      </c>
      <c r="AD5" s="599">
        <v>719.73</v>
      </c>
      <c r="AE5" s="602">
        <v>785.76</v>
      </c>
      <c r="AF5" s="600">
        <v>1100.96</v>
      </c>
      <c r="AG5" s="601">
        <v>1139.66</v>
      </c>
      <c r="AH5" s="599">
        <v>63.73</v>
      </c>
      <c r="AI5" s="602">
        <v>60.22</v>
      </c>
      <c r="AJ5" s="600">
        <v>503.92</v>
      </c>
      <c r="AK5" s="601">
        <v>512.49</v>
      </c>
      <c r="AL5" s="599"/>
      <c r="AM5" s="602"/>
      <c r="AN5" s="1328">
        <v>2857</v>
      </c>
      <c r="AO5" s="1329">
        <v>3240</v>
      </c>
      <c r="AP5" s="1324">
        <v>43.58</v>
      </c>
      <c r="AQ5" s="606">
        <v>33.8</v>
      </c>
      <c r="AR5" s="607">
        <v>1.35</v>
      </c>
      <c r="AS5" s="1024">
        <v>-0.01</v>
      </c>
      <c r="AT5" s="599">
        <v>679.4</v>
      </c>
      <c r="AU5" s="602">
        <v>833.21</v>
      </c>
      <c r="AV5" s="609">
        <f aca="true" t="shared" si="0" ref="AV5:AV18">SUM(B5+D5+F5+H5+J5+L5+N5+P5+R5+T5+V5+X5+Z5+AB5+AD5+AF5+AH5+AJ5+AL5+AN5+AP5+AR5+AT5)</f>
        <v>11981.249999999998</v>
      </c>
      <c r="AW5" s="1336">
        <f aca="true" t="shared" si="1" ref="AW5:AW18">SUM(C5+E5+G5+I5+K5+M5+O5+Q5+S5+U5+W5+Y5+AA5+AC5+AE5+AG5+AI5+AK5+AM5+AO5+AQ5+AS5+AU5)</f>
        <v>12366.89</v>
      </c>
      <c r="AX5" s="610">
        <v>48886.66</v>
      </c>
      <c r="AY5" s="608"/>
      <c r="AZ5" s="609">
        <f aca="true" t="shared" si="2" ref="AZ5:AZ18">AV5+AX5</f>
        <v>60867.91</v>
      </c>
      <c r="BA5" s="611">
        <f aca="true" t="shared" si="3" ref="BA5:BA18">AW5+AY5</f>
        <v>12366.89</v>
      </c>
    </row>
    <row r="6" spans="1:53" ht="17.25">
      <c r="A6" s="115" t="s">
        <v>4</v>
      </c>
      <c r="B6" s="77">
        <v>846</v>
      </c>
      <c r="C6" s="78">
        <v>905</v>
      </c>
      <c r="D6" s="79">
        <v>0.69</v>
      </c>
      <c r="E6" s="82">
        <v>0.15</v>
      </c>
      <c r="F6" s="80">
        <v>22.15</v>
      </c>
      <c r="G6" s="82"/>
      <c r="H6" s="80">
        <v>100</v>
      </c>
      <c r="I6" s="81">
        <v>268</v>
      </c>
      <c r="J6" s="79">
        <v>0</v>
      </c>
      <c r="K6" s="82">
        <v>26</v>
      </c>
      <c r="L6" s="80">
        <v>953.73</v>
      </c>
      <c r="M6" s="81">
        <v>1075.61</v>
      </c>
      <c r="N6" s="80">
        <v>18.34</v>
      </c>
      <c r="O6" s="82">
        <v>6.86</v>
      </c>
      <c r="P6" s="83">
        <v>38.35</v>
      </c>
      <c r="Q6" s="84">
        <v>36.52</v>
      </c>
      <c r="R6" s="3">
        <v>50.4</v>
      </c>
      <c r="S6" s="4">
        <v>42.69</v>
      </c>
      <c r="T6" s="3">
        <v>81.56</v>
      </c>
      <c r="U6" s="248">
        <v>81.41</v>
      </c>
      <c r="V6" s="3">
        <v>3567.54</v>
      </c>
      <c r="W6" s="4">
        <v>3537.31</v>
      </c>
      <c r="X6" s="3">
        <v>4492.5</v>
      </c>
      <c r="Y6" s="248">
        <v>3915.5</v>
      </c>
      <c r="Z6" s="249">
        <v>576.66</v>
      </c>
      <c r="AA6" s="6">
        <v>374.2</v>
      </c>
      <c r="AB6" s="80">
        <v>646.52</v>
      </c>
      <c r="AC6" s="81">
        <v>774.08</v>
      </c>
      <c r="AD6" s="79">
        <v>1167.49</v>
      </c>
      <c r="AE6" s="82">
        <v>1310.7</v>
      </c>
      <c r="AF6" s="80">
        <v>2993</v>
      </c>
      <c r="AG6" s="81">
        <v>3152.74</v>
      </c>
      <c r="AH6" s="79">
        <v>912.79</v>
      </c>
      <c r="AI6" s="82">
        <v>857.37</v>
      </c>
      <c r="AJ6" s="80">
        <v>35.26</v>
      </c>
      <c r="AK6" s="81">
        <v>12.32</v>
      </c>
      <c r="AL6" s="79"/>
      <c r="AM6" s="82"/>
      <c r="AN6" s="137">
        <v>6640</v>
      </c>
      <c r="AO6" s="92">
        <v>7586</v>
      </c>
      <c r="AP6" s="1325">
        <v>2.21</v>
      </c>
      <c r="AQ6" s="85">
        <v>2.86</v>
      </c>
      <c r="AR6" s="86">
        <v>598.64</v>
      </c>
      <c r="AS6" s="1025">
        <v>636.02</v>
      </c>
      <c r="AT6" s="79">
        <v>1403.62</v>
      </c>
      <c r="AU6" s="82">
        <v>1847.82</v>
      </c>
      <c r="AV6" s="88">
        <f t="shared" si="0"/>
        <v>25147.449999999997</v>
      </c>
      <c r="AW6" s="1337">
        <f t="shared" si="1"/>
        <v>26449.16</v>
      </c>
      <c r="AX6" s="89">
        <v>1269.38</v>
      </c>
      <c r="AY6" s="87"/>
      <c r="AZ6" s="88">
        <f t="shared" si="2"/>
        <v>26416.829999999998</v>
      </c>
      <c r="BA6" s="267">
        <f t="shared" si="3"/>
        <v>26449.16</v>
      </c>
    </row>
    <row r="7" spans="1:53" ht="17.25">
      <c r="A7" s="115" t="s">
        <v>5</v>
      </c>
      <c r="B7" s="77">
        <v>0</v>
      </c>
      <c r="C7" s="78">
        <v>3</v>
      </c>
      <c r="D7" s="79">
        <v>3.33</v>
      </c>
      <c r="E7" s="82">
        <v>6.31</v>
      </c>
      <c r="F7" s="80">
        <v>22.18</v>
      </c>
      <c r="G7" s="82"/>
      <c r="H7" s="80">
        <v>42</v>
      </c>
      <c r="I7" s="81">
        <v>74</v>
      </c>
      <c r="J7" s="79">
        <v>56</v>
      </c>
      <c r="K7" s="82">
        <v>53</v>
      </c>
      <c r="L7" s="80">
        <v>1.46</v>
      </c>
      <c r="M7" s="81">
        <v>1.25</v>
      </c>
      <c r="N7" s="80">
        <v>55.09</v>
      </c>
      <c r="O7" s="82">
        <v>5.27</v>
      </c>
      <c r="P7" s="83">
        <v>28.64</v>
      </c>
      <c r="Q7" s="84">
        <v>25.87</v>
      </c>
      <c r="R7" s="3">
        <v>33.37</v>
      </c>
      <c r="S7" s="4">
        <v>25.32</v>
      </c>
      <c r="T7" s="3">
        <v>38.42</v>
      </c>
      <c r="U7" s="248">
        <v>34.04</v>
      </c>
      <c r="V7" s="3">
        <v>358.22</v>
      </c>
      <c r="W7" s="4">
        <v>353.33</v>
      </c>
      <c r="X7" s="3">
        <v>209.9</v>
      </c>
      <c r="Y7" s="248">
        <v>279.3</v>
      </c>
      <c r="Z7" s="249"/>
      <c r="AA7" s="6"/>
      <c r="AB7" s="80">
        <v>6.84</v>
      </c>
      <c r="AC7" s="81">
        <v>35.62</v>
      </c>
      <c r="AD7" s="79">
        <v>1.44</v>
      </c>
      <c r="AE7" s="82">
        <v>4.07</v>
      </c>
      <c r="AF7" s="80">
        <v>113.26</v>
      </c>
      <c r="AG7" s="81">
        <v>90.57</v>
      </c>
      <c r="AH7" s="79">
        <v>0.01</v>
      </c>
      <c r="AI7" s="82">
        <v>2.46</v>
      </c>
      <c r="AJ7" s="80">
        <v>55.88</v>
      </c>
      <c r="AK7" s="81">
        <v>57.93</v>
      </c>
      <c r="AL7" s="79"/>
      <c r="AM7" s="82"/>
      <c r="AN7" s="1330">
        <v>67</v>
      </c>
      <c r="AO7" s="1331">
        <v>196</v>
      </c>
      <c r="AP7" s="1325">
        <v>250.66</v>
      </c>
      <c r="AQ7" s="85">
        <v>238.49</v>
      </c>
      <c r="AR7" s="86"/>
      <c r="AS7" s="1025"/>
      <c r="AT7" s="79">
        <v>26.6</v>
      </c>
      <c r="AU7" s="82">
        <v>45.49</v>
      </c>
      <c r="AV7" s="88">
        <f t="shared" si="0"/>
        <v>1370.3000000000002</v>
      </c>
      <c r="AW7" s="1337">
        <f t="shared" si="1"/>
        <v>1531.3200000000002</v>
      </c>
      <c r="AX7" s="89">
        <v>46</v>
      </c>
      <c r="AY7" s="87"/>
      <c r="AZ7" s="88">
        <f t="shared" si="2"/>
        <v>1416.3000000000002</v>
      </c>
      <c r="BA7" s="267">
        <f t="shared" si="3"/>
        <v>1531.3200000000002</v>
      </c>
    </row>
    <row r="8" spans="1:53" ht="17.25">
      <c r="A8" s="115" t="s">
        <v>6</v>
      </c>
      <c r="B8" s="77">
        <v>49</v>
      </c>
      <c r="C8" s="78">
        <v>27</v>
      </c>
      <c r="D8" s="79">
        <v>0.01</v>
      </c>
      <c r="E8" s="82">
        <v>3.63</v>
      </c>
      <c r="F8" s="80">
        <v>9.77</v>
      </c>
      <c r="G8" s="82"/>
      <c r="H8" s="80">
        <v>59</v>
      </c>
      <c r="I8" s="81">
        <v>69</v>
      </c>
      <c r="J8" s="79">
        <v>301</v>
      </c>
      <c r="K8" s="82">
        <v>272</v>
      </c>
      <c r="L8" s="80"/>
      <c r="M8" s="81">
        <v>0.72</v>
      </c>
      <c r="N8" s="80">
        <v>-0.44</v>
      </c>
      <c r="O8" s="82">
        <v>-0.33</v>
      </c>
      <c r="P8" s="83">
        <v>11.22</v>
      </c>
      <c r="Q8" s="84">
        <v>16.4</v>
      </c>
      <c r="R8" s="3">
        <v>169.66</v>
      </c>
      <c r="S8" s="4">
        <v>208.22</v>
      </c>
      <c r="T8" s="3">
        <v>0.89</v>
      </c>
      <c r="U8" s="248">
        <v>4.91</v>
      </c>
      <c r="V8" s="3">
        <v>236.86</v>
      </c>
      <c r="W8" s="4">
        <v>482.16</v>
      </c>
      <c r="X8" s="3">
        <v>209.6</v>
      </c>
      <c r="Y8" s="248">
        <v>208.5</v>
      </c>
      <c r="Z8" s="249">
        <v>15.02</v>
      </c>
      <c r="AA8" s="6">
        <v>7.81</v>
      </c>
      <c r="AB8" s="80">
        <v>19.26</v>
      </c>
      <c r="AC8" s="81">
        <v>11.44</v>
      </c>
      <c r="AD8" s="79">
        <v>58.47</v>
      </c>
      <c r="AE8" s="82">
        <v>63.71</v>
      </c>
      <c r="AF8" s="80">
        <v>4.57</v>
      </c>
      <c r="AG8" s="81">
        <v>4.23</v>
      </c>
      <c r="AH8" s="79">
        <v>12.11</v>
      </c>
      <c r="AI8" s="82">
        <v>18.92</v>
      </c>
      <c r="AJ8" s="80">
        <v>63.3</v>
      </c>
      <c r="AK8" s="81">
        <v>48.22</v>
      </c>
      <c r="AL8" s="79"/>
      <c r="AM8" s="82"/>
      <c r="AN8" s="1330">
        <v>1</v>
      </c>
      <c r="AO8" s="1331">
        <v>1</v>
      </c>
      <c r="AP8" s="1325">
        <v>22.38</v>
      </c>
      <c r="AQ8" s="85">
        <v>22.28</v>
      </c>
      <c r="AR8" s="86"/>
      <c r="AS8" s="1025">
        <v>-0.0048</v>
      </c>
      <c r="AT8" s="79">
        <v>142.84</v>
      </c>
      <c r="AU8" s="82">
        <v>159.09</v>
      </c>
      <c r="AV8" s="88">
        <f t="shared" si="0"/>
        <v>1385.5199999999998</v>
      </c>
      <c r="AW8" s="1337">
        <f t="shared" si="1"/>
        <v>1628.9052000000001</v>
      </c>
      <c r="AX8" s="89">
        <v>19.64</v>
      </c>
      <c r="AY8" s="87"/>
      <c r="AZ8" s="88">
        <f t="shared" si="2"/>
        <v>1405.1599999999999</v>
      </c>
      <c r="BA8" s="267">
        <f t="shared" si="3"/>
        <v>1628.9052000000001</v>
      </c>
    </row>
    <row r="9" spans="1:53" ht="17.25">
      <c r="A9" s="115" t="s">
        <v>7</v>
      </c>
      <c r="B9" s="46">
        <v>0</v>
      </c>
      <c r="C9" s="93"/>
      <c r="D9" s="90"/>
      <c r="E9" s="96"/>
      <c r="F9" s="94"/>
      <c r="G9" s="96"/>
      <c r="H9" s="94"/>
      <c r="I9" s="95"/>
      <c r="J9" s="90"/>
      <c r="K9" s="96"/>
      <c r="L9" s="94"/>
      <c r="M9" s="95"/>
      <c r="N9" s="94"/>
      <c r="O9" s="96"/>
      <c r="P9" s="83">
        <v>0.01</v>
      </c>
      <c r="Q9" s="84">
        <v>0.01</v>
      </c>
      <c r="R9" s="8"/>
      <c r="S9" s="9"/>
      <c r="T9" s="8"/>
      <c r="U9" s="106"/>
      <c r="V9" s="8"/>
      <c r="W9" s="9"/>
      <c r="X9" s="8"/>
      <c r="Y9" s="106"/>
      <c r="Z9" s="249"/>
      <c r="AA9" s="6"/>
      <c r="AB9" s="94">
        <v>0</v>
      </c>
      <c r="AC9" s="95"/>
      <c r="AD9" s="1023">
        <v>0.03</v>
      </c>
      <c r="AE9" s="97">
        <v>0.11</v>
      </c>
      <c r="AF9" s="94"/>
      <c r="AG9" s="95"/>
      <c r="AH9" s="90"/>
      <c r="AI9" s="96"/>
      <c r="AJ9" s="94"/>
      <c r="AK9" s="95"/>
      <c r="AL9" s="79"/>
      <c r="AM9" s="82"/>
      <c r="AN9" s="1332"/>
      <c r="AO9" s="1333"/>
      <c r="AP9" s="1325"/>
      <c r="AQ9" s="85"/>
      <c r="AR9" s="86"/>
      <c r="AS9" s="1025"/>
      <c r="AT9" s="90">
        <v>1.15</v>
      </c>
      <c r="AU9" s="96">
        <v>1.14</v>
      </c>
      <c r="AV9" s="88">
        <f t="shared" si="0"/>
        <v>1.19</v>
      </c>
      <c r="AW9" s="1337">
        <f t="shared" si="1"/>
        <v>1.2599999999999998</v>
      </c>
      <c r="AX9" s="90">
        <v>20.91</v>
      </c>
      <c r="AY9" s="96"/>
      <c r="AZ9" s="88">
        <f t="shared" si="2"/>
        <v>22.1</v>
      </c>
      <c r="BA9" s="267">
        <f t="shared" si="3"/>
        <v>1.2599999999999998</v>
      </c>
    </row>
    <row r="10" spans="1:53" ht="17.25">
      <c r="A10" s="115" t="s">
        <v>15</v>
      </c>
      <c r="B10" s="77"/>
      <c r="C10" s="78"/>
      <c r="D10" s="79"/>
      <c r="E10" s="82"/>
      <c r="F10" s="80"/>
      <c r="G10" s="82"/>
      <c r="H10" s="80"/>
      <c r="I10" s="81"/>
      <c r="J10" s="79"/>
      <c r="K10" s="82"/>
      <c r="L10" s="80"/>
      <c r="M10" s="81"/>
      <c r="N10" s="80"/>
      <c r="O10" s="82"/>
      <c r="P10" s="83"/>
      <c r="Q10" s="84"/>
      <c r="R10" s="3"/>
      <c r="S10" s="4"/>
      <c r="T10" s="3"/>
      <c r="U10" s="248"/>
      <c r="V10" s="3"/>
      <c r="W10" s="4"/>
      <c r="X10" s="3"/>
      <c r="Y10" s="248"/>
      <c r="Z10" s="2"/>
      <c r="AA10" s="4"/>
      <c r="AB10" s="80">
        <v>2.28</v>
      </c>
      <c r="AC10" s="81">
        <v>1.25</v>
      </c>
      <c r="AD10" s="79">
        <v>178.12</v>
      </c>
      <c r="AE10" s="82"/>
      <c r="AF10" s="80"/>
      <c r="AG10" s="81"/>
      <c r="AH10" s="79"/>
      <c r="AI10" s="82"/>
      <c r="AJ10" s="80"/>
      <c r="AK10" s="81"/>
      <c r="AL10" s="79"/>
      <c r="AM10" s="82"/>
      <c r="AN10" s="1330"/>
      <c r="AO10" s="1331"/>
      <c r="AP10" s="1325"/>
      <c r="AQ10" s="85"/>
      <c r="AR10" s="86"/>
      <c r="AS10" s="1025"/>
      <c r="AT10" s="79"/>
      <c r="AU10" s="82"/>
      <c r="AV10" s="88">
        <f t="shared" si="0"/>
        <v>180.4</v>
      </c>
      <c r="AW10" s="1337">
        <f t="shared" si="1"/>
        <v>1.25</v>
      </c>
      <c r="AX10" s="89"/>
      <c r="AY10" s="87"/>
      <c r="AZ10" s="88">
        <f t="shared" si="2"/>
        <v>180.4</v>
      </c>
      <c r="BA10" s="267">
        <f t="shared" si="3"/>
        <v>1.25</v>
      </c>
    </row>
    <row r="11" spans="1:53" ht="17.25">
      <c r="A11" s="115" t="s">
        <v>8</v>
      </c>
      <c r="B11" s="77">
        <v>90</v>
      </c>
      <c r="C11" s="78">
        <v>73</v>
      </c>
      <c r="D11" s="79">
        <v>98.61</v>
      </c>
      <c r="E11" s="82">
        <v>63.06</v>
      </c>
      <c r="F11" s="80">
        <v>51.43</v>
      </c>
      <c r="G11" s="82"/>
      <c r="H11" s="80">
        <v>198</v>
      </c>
      <c r="I11" s="81">
        <v>231</v>
      </c>
      <c r="J11" s="79">
        <v>69</v>
      </c>
      <c r="K11" s="82">
        <v>71</v>
      </c>
      <c r="L11" s="80">
        <v>11.83</v>
      </c>
      <c r="M11" s="81">
        <v>14.63</v>
      </c>
      <c r="N11" s="80">
        <v>137.3</v>
      </c>
      <c r="O11" s="82">
        <v>89.16</v>
      </c>
      <c r="P11" s="83">
        <v>71</v>
      </c>
      <c r="Q11" s="84">
        <v>68.39</v>
      </c>
      <c r="R11" s="3">
        <v>40.86</v>
      </c>
      <c r="S11" s="4">
        <v>54.61</v>
      </c>
      <c r="T11" s="3">
        <v>186.92</v>
      </c>
      <c r="U11" s="248">
        <v>200.54</v>
      </c>
      <c r="V11" s="3">
        <v>2367.53</v>
      </c>
      <c r="W11" s="4">
        <v>2873.53</v>
      </c>
      <c r="X11" s="3">
        <v>1360.7</v>
      </c>
      <c r="Y11" s="248">
        <v>1580.6</v>
      </c>
      <c r="Z11" s="2">
        <v>5.55</v>
      </c>
      <c r="AA11" s="4">
        <v>5.73</v>
      </c>
      <c r="AB11" s="80">
        <v>9.51</v>
      </c>
      <c r="AC11" s="81">
        <v>22.48</v>
      </c>
      <c r="AD11" s="79">
        <v>5.62</v>
      </c>
      <c r="AE11" s="82">
        <v>230.08</v>
      </c>
      <c r="AF11" s="80">
        <v>534.83</v>
      </c>
      <c r="AG11" s="81">
        <v>743.69</v>
      </c>
      <c r="AH11" s="79">
        <v>405.01</v>
      </c>
      <c r="AI11" s="82">
        <v>369.33</v>
      </c>
      <c r="AJ11" s="80">
        <v>243.73</v>
      </c>
      <c r="AK11" s="81">
        <v>310.17</v>
      </c>
      <c r="AL11" s="79"/>
      <c r="AM11" s="82"/>
      <c r="AN11" s="1330">
        <v>72</v>
      </c>
      <c r="AO11" s="1331">
        <v>222</v>
      </c>
      <c r="AP11" s="1325">
        <v>189.13</v>
      </c>
      <c r="AQ11" s="85">
        <v>188.42</v>
      </c>
      <c r="AR11" s="86">
        <v>8.56</v>
      </c>
      <c r="AS11" s="1025">
        <v>7.22</v>
      </c>
      <c r="AT11" s="79">
        <v>97.77</v>
      </c>
      <c r="AU11" s="82">
        <v>129.61</v>
      </c>
      <c r="AV11" s="88">
        <f t="shared" si="0"/>
        <v>6254.890000000001</v>
      </c>
      <c r="AW11" s="1337">
        <f t="shared" si="1"/>
        <v>7548.25</v>
      </c>
      <c r="AX11" s="89">
        <v>772.86</v>
      </c>
      <c r="AY11" s="87"/>
      <c r="AZ11" s="88">
        <f t="shared" si="2"/>
        <v>7027.750000000001</v>
      </c>
      <c r="BA11" s="267">
        <f t="shared" si="3"/>
        <v>7548.25</v>
      </c>
    </row>
    <row r="12" spans="1:53" ht="17.25">
      <c r="A12" s="115" t="s">
        <v>16</v>
      </c>
      <c r="B12" s="77"/>
      <c r="C12" s="78"/>
      <c r="D12" s="79"/>
      <c r="E12" s="82"/>
      <c r="F12" s="80"/>
      <c r="G12" s="82"/>
      <c r="H12" s="80"/>
      <c r="I12" s="81"/>
      <c r="J12" s="79"/>
      <c r="K12" s="82"/>
      <c r="L12" s="80"/>
      <c r="M12" s="81"/>
      <c r="N12" s="80"/>
      <c r="O12" s="82"/>
      <c r="P12" s="83"/>
      <c r="Q12" s="84"/>
      <c r="R12" s="3">
        <v>0.22</v>
      </c>
      <c r="S12" s="4">
        <v>1.04</v>
      </c>
      <c r="T12" s="3"/>
      <c r="U12" s="248"/>
      <c r="V12" s="3"/>
      <c r="W12" s="4"/>
      <c r="X12" s="3"/>
      <c r="Y12" s="248"/>
      <c r="Z12" s="2"/>
      <c r="AA12" s="4"/>
      <c r="AB12" s="80"/>
      <c r="AC12" s="81"/>
      <c r="AD12" s="79"/>
      <c r="AE12" s="82">
        <v>3.6</v>
      </c>
      <c r="AF12" s="80">
        <v>0.08</v>
      </c>
      <c r="AG12" s="81"/>
      <c r="AH12" s="79"/>
      <c r="AI12" s="82"/>
      <c r="AJ12" s="80"/>
      <c r="AK12" s="81"/>
      <c r="AL12" s="79"/>
      <c r="AM12" s="82"/>
      <c r="AN12" s="1330"/>
      <c r="AO12" s="1331"/>
      <c r="AP12" s="1325"/>
      <c r="AQ12" s="85"/>
      <c r="AR12" s="86"/>
      <c r="AS12" s="1025"/>
      <c r="AT12" s="79"/>
      <c r="AU12" s="82"/>
      <c r="AV12" s="88">
        <f t="shared" si="0"/>
        <v>0.3</v>
      </c>
      <c r="AW12" s="1337">
        <f t="shared" si="1"/>
        <v>4.640000000000001</v>
      </c>
      <c r="AX12" s="89"/>
      <c r="AY12" s="87"/>
      <c r="AZ12" s="88">
        <f t="shared" si="2"/>
        <v>0.3</v>
      </c>
      <c r="BA12" s="267">
        <f t="shared" si="3"/>
        <v>4.640000000000001</v>
      </c>
    </row>
    <row r="13" spans="1:53" ht="17.25">
      <c r="A13" s="115" t="s">
        <v>17</v>
      </c>
      <c r="B13" s="77"/>
      <c r="C13" s="78"/>
      <c r="D13" s="79"/>
      <c r="E13" s="82">
        <v>0.02</v>
      </c>
      <c r="F13" s="80"/>
      <c r="G13" s="82"/>
      <c r="H13" s="80"/>
      <c r="I13" s="81"/>
      <c r="J13" s="79"/>
      <c r="K13" s="82"/>
      <c r="L13" s="80"/>
      <c r="M13" s="81"/>
      <c r="N13" s="80"/>
      <c r="O13" s="82"/>
      <c r="P13" s="83"/>
      <c r="Q13" s="84"/>
      <c r="R13" s="3">
        <v>0.69</v>
      </c>
      <c r="S13" s="4"/>
      <c r="T13" s="3"/>
      <c r="U13" s="248"/>
      <c r="V13" s="3">
        <v>1.17</v>
      </c>
      <c r="W13" s="4">
        <v>3.72</v>
      </c>
      <c r="X13" s="3">
        <v>4</v>
      </c>
      <c r="Y13" s="248">
        <v>12.5</v>
      </c>
      <c r="Z13" s="2"/>
      <c r="AA13" s="4"/>
      <c r="AB13" s="80"/>
      <c r="AC13" s="81"/>
      <c r="AD13" s="79"/>
      <c r="AE13" s="82"/>
      <c r="AF13" s="80"/>
      <c r="AG13" s="81"/>
      <c r="AH13" s="79"/>
      <c r="AI13" s="82"/>
      <c r="AJ13" s="80"/>
      <c r="AK13" s="81"/>
      <c r="AL13" s="79"/>
      <c r="AM13" s="82"/>
      <c r="AN13" s="1330"/>
      <c r="AO13" s="1331"/>
      <c r="AP13" s="1325"/>
      <c r="AQ13" s="85"/>
      <c r="AR13" s="86"/>
      <c r="AS13" s="1025"/>
      <c r="AT13" s="79"/>
      <c r="AU13" s="82"/>
      <c r="AV13" s="88">
        <f t="shared" si="0"/>
        <v>5.859999999999999</v>
      </c>
      <c r="AW13" s="1337">
        <f t="shared" si="1"/>
        <v>16.240000000000002</v>
      </c>
      <c r="AX13" s="89">
        <v>10.65</v>
      </c>
      <c r="AY13" s="87"/>
      <c r="AZ13" s="88">
        <f t="shared" si="2"/>
        <v>16.509999999999998</v>
      </c>
      <c r="BA13" s="267">
        <f t="shared" si="3"/>
        <v>16.240000000000002</v>
      </c>
    </row>
    <row r="14" spans="1:53" ht="17.25">
      <c r="A14" s="115" t="s">
        <v>299</v>
      </c>
      <c r="B14" s="77"/>
      <c r="C14" s="78"/>
      <c r="D14" s="79"/>
      <c r="E14" s="82"/>
      <c r="F14" s="80"/>
      <c r="G14" s="82"/>
      <c r="H14" s="80">
        <v>157</v>
      </c>
      <c r="I14" s="81">
        <v>169</v>
      </c>
      <c r="J14" s="79"/>
      <c r="K14" s="82"/>
      <c r="L14" s="80"/>
      <c r="M14" s="81"/>
      <c r="N14" s="80"/>
      <c r="O14" s="82"/>
      <c r="P14" s="83"/>
      <c r="Q14" s="84"/>
      <c r="R14" s="3"/>
      <c r="S14" s="4"/>
      <c r="T14" s="3"/>
      <c r="U14" s="248"/>
      <c r="V14" s="3"/>
      <c r="W14" s="4"/>
      <c r="X14" s="3">
        <v>59.5</v>
      </c>
      <c r="Y14" s="248">
        <v>92.7</v>
      </c>
      <c r="Z14" s="2"/>
      <c r="AA14" s="4"/>
      <c r="AB14" s="80"/>
      <c r="AC14" s="81"/>
      <c r="AD14" s="79"/>
      <c r="AE14" s="82"/>
      <c r="AF14" s="80"/>
      <c r="AG14" s="81"/>
      <c r="AH14" s="79"/>
      <c r="AI14" s="82"/>
      <c r="AJ14" s="80"/>
      <c r="AK14" s="81"/>
      <c r="AL14" s="79"/>
      <c r="AM14" s="82"/>
      <c r="AN14" s="1330"/>
      <c r="AO14" s="1331"/>
      <c r="AP14" s="1325"/>
      <c r="AQ14" s="85"/>
      <c r="AR14" s="86"/>
      <c r="AS14" s="1025"/>
      <c r="AT14" s="79"/>
      <c r="AU14" s="82"/>
      <c r="AV14" s="88">
        <f t="shared" si="0"/>
        <v>216.5</v>
      </c>
      <c r="AW14" s="1337">
        <f t="shared" si="1"/>
        <v>261.7</v>
      </c>
      <c r="AX14" s="89"/>
      <c r="AY14" s="87"/>
      <c r="AZ14" s="88">
        <f t="shared" si="2"/>
        <v>216.5</v>
      </c>
      <c r="BA14" s="267">
        <f t="shared" si="3"/>
        <v>261.7</v>
      </c>
    </row>
    <row r="15" spans="1:53" ht="18" thickBot="1">
      <c r="A15" s="268" t="s">
        <v>19</v>
      </c>
      <c r="B15" s="289"/>
      <c r="C15" s="290"/>
      <c r="D15" s="269"/>
      <c r="E15" s="272"/>
      <c r="F15" s="270"/>
      <c r="G15" s="272"/>
      <c r="H15" s="270"/>
      <c r="I15" s="271">
        <v>46</v>
      </c>
      <c r="J15" s="269"/>
      <c r="K15" s="272"/>
      <c r="L15" s="270"/>
      <c r="M15" s="271"/>
      <c r="N15" s="270"/>
      <c r="O15" s="272"/>
      <c r="P15" s="292"/>
      <c r="Q15" s="293">
        <v>1.79</v>
      </c>
      <c r="R15" s="294"/>
      <c r="S15" s="295"/>
      <c r="T15" s="294"/>
      <c r="U15" s="1020">
        <v>0.29</v>
      </c>
      <c r="V15" s="294">
        <v>61.52</v>
      </c>
      <c r="W15" s="295">
        <v>87.95</v>
      </c>
      <c r="X15" s="294">
        <v>31</v>
      </c>
      <c r="Y15" s="1020">
        <v>60.6</v>
      </c>
      <c r="Z15" s="291"/>
      <c r="AA15" s="295"/>
      <c r="AB15" s="270"/>
      <c r="AC15" s="271"/>
      <c r="AD15" s="269"/>
      <c r="AE15" s="272"/>
      <c r="AF15" s="270"/>
      <c r="AG15" s="271"/>
      <c r="AH15" s="269"/>
      <c r="AI15" s="272">
        <v>1.58</v>
      </c>
      <c r="AJ15" s="270"/>
      <c r="AK15" s="271">
        <v>0.13</v>
      </c>
      <c r="AL15" s="269"/>
      <c r="AM15" s="272"/>
      <c r="AN15" s="1334"/>
      <c r="AO15" s="1335"/>
      <c r="AP15" s="1326"/>
      <c r="AQ15" s="273"/>
      <c r="AR15" s="274"/>
      <c r="AS15" s="1026"/>
      <c r="AT15" s="269"/>
      <c r="AU15" s="272">
        <v>64.91</v>
      </c>
      <c r="AV15" s="276">
        <f t="shared" si="0"/>
        <v>92.52000000000001</v>
      </c>
      <c r="AW15" s="1338">
        <f t="shared" si="1"/>
        <v>263.25</v>
      </c>
      <c r="AX15" s="277"/>
      <c r="AY15" s="275"/>
      <c r="AZ15" s="276">
        <f t="shared" si="2"/>
        <v>92.52000000000001</v>
      </c>
      <c r="BA15" s="278">
        <f t="shared" si="3"/>
        <v>263.25</v>
      </c>
    </row>
    <row r="16" spans="1:53" s="693" customFormat="1" ht="18.75" thickBot="1">
      <c r="A16" s="685" t="s">
        <v>20</v>
      </c>
      <c r="B16" s="686">
        <f aca="true" t="shared" si="4" ref="B16:AG16">SUM(B5:B15)</f>
        <v>1798</v>
      </c>
      <c r="C16" s="687">
        <f t="shared" si="4"/>
        <v>1803</v>
      </c>
      <c r="D16" s="688">
        <f t="shared" si="4"/>
        <v>102.55</v>
      </c>
      <c r="E16" s="689">
        <f t="shared" si="4"/>
        <v>73.2</v>
      </c>
      <c r="F16" s="686">
        <f t="shared" si="4"/>
        <v>175</v>
      </c>
      <c r="G16" s="689">
        <f t="shared" si="4"/>
        <v>0</v>
      </c>
      <c r="H16" s="686">
        <f t="shared" si="4"/>
        <v>1802</v>
      </c>
      <c r="I16" s="687">
        <f t="shared" si="4"/>
        <v>1999</v>
      </c>
      <c r="J16" s="688">
        <f t="shared" si="4"/>
        <v>645</v>
      </c>
      <c r="K16" s="689">
        <f t="shared" si="4"/>
        <v>634</v>
      </c>
      <c r="L16" s="686">
        <f t="shared" si="4"/>
        <v>967.0200000000001</v>
      </c>
      <c r="M16" s="687">
        <f t="shared" si="4"/>
        <v>1092.72</v>
      </c>
      <c r="N16" s="686">
        <f t="shared" si="4"/>
        <v>312.66</v>
      </c>
      <c r="O16" s="689">
        <f t="shared" si="4"/>
        <v>165.39</v>
      </c>
      <c r="P16" s="686">
        <f t="shared" si="4"/>
        <v>353.88</v>
      </c>
      <c r="Q16" s="689">
        <f t="shared" si="4"/>
        <v>331.11</v>
      </c>
      <c r="R16" s="686">
        <f t="shared" si="4"/>
        <v>691.46</v>
      </c>
      <c r="S16" s="689">
        <f t="shared" si="4"/>
        <v>754.93</v>
      </c>
      <c r="T16" s="686">
        <f t="shared" si="4"/>
        <v>380.6</v>
      </c>
      <c r="U16" s="687">
        <f t="shared" si="4"/>
        <v>371.82</v>
      </c>
      <c r="V16" s="686">
        <f t="shared" si="4"/>
        <v>7644.85</v>
      </c>
      <c r="W16" s="689">
        <f t="shared" si="4"/>
        <v>8463.39</v>
      </c>
      <c r="X16" s="686">
        <f t="shared" si="4"/>
        <v>8140.099999999999</v>
      </c>
      <c r="Y16" s="687">
        <f t="shared" si="4"/>
        <v>7874.2</v>
      </c>
      <c r="Z16" s="688">
        <f t="shared" si="4"/>
        <v>644.2499999999999</v>
      </c>
      <c r="AA16" s="689">
        <f t="shared" si="4"/>
        <v>407</v>
      </c>
      <c r="AB16" s="686">
        <f t="shared" si="4"/>
        <v>700.5799999999999</v>
      </c>
      <c r="AC16" s="687">
        <f t="shared" si="4"/>
        <v>867.7000000000002</v>
      </c>
      <c r="AD16" s="688">
        <f t="shared" si="4"/>
        <v>2130.9</v>
      </c>
      <c r="AE16" s="689">
        <f t="shared" si="4"/>
        <v>2398.03</v>
      </c>
      <c r="AF16" s="686">
        <f t="shared" si="4"/>
        <v>4746.7</v>
      </c>
      <c r="AG16" s="687">
        <f t="shared" si="4"/>
        <v>5130.889999999999</v>
      </c>
      <c r="AH16" s="688">
        <f aca="true" t="shared" si="5" ref="AH16:AU16">SUM(AH5:AH15)</f>
        <v>1393.65</v>
      </c>
      <c r="AI16" s="689">
        <f t="shared" si="5"/>
        <v>1309.8799999999999</v>
      </c>
      <c r="AJ16" s="686">
        <f t="shared" si="5"/>
        <v>902.09</v>
      </c>
      <c r="AK16" s="687">
        <f t="shared" si="5"/>
        <v>941.2600000000001</v>
      </c>
      <c r="AL16" s="688">
        <f t="shared" si="5"/>
        <v>0</v>
      </c>
      <c r="AM16" s="689">
        <f t="shared" si="5"/>
        <v>0</v>
      </c>
      <c r="AN16" s="688">
        <f t="shared" si="5"/>
        <v>9637</v>
      </c>
      <c r="AO16" s="689">
        <f t="shared" si="5"/>
        <v>11245</v>
      </c>
      <c r="AP16" s="686">
        <f t="shared" si="5"/>
        <v>507.96</v>
      </c>
      <c r="AQ16" s="689">
        <f t="shared" si="5"/>
        <v>485.8499999999999</v>
      </c>
      <c r="AR16" s="686">
        <f t="shared" si="5"/>
        <v>608.55</v>
      </c>
      <c r="AS16" s="687">
        <f t="shared" si="5"/>
        <v>643.2252</v>
      </c>
      <c r="AT16" s="688">
        <f t="shared" si="5"/>
        <v>2351.38</v>
      </c>
      <c r="AU16" s="689">
        <f t="shared" si="5"/>
        <v>3081.2699999999995</v>
      </c>
      <c r="AV16" s="690">
        <f t="shared" si="0"/>
        <v>46636.18</v>
      </c>
      <c r="AW16" s="1339">
        <f t="shared" si="1"/>
        <v>50072.86519999999</v>
      </c>
      <c r="AX16" s="691">
        <f>SUM(AX5:AX15)</f>
        <v>51026.100000000006</v>
      </c>
      <c r="AY16" s="1342">
        <f>SUM(AY5:AY15)</f>
        <v>0</v>
      </c>
      <c r="AZ16" s="690">
        <f t="shared" si="2"/>
        <v>97662.28</v>
      </c>
      <c r="BA16" s="692">
        <f t="shared" si="3"/>
        <v>50072.86519999999</v>
      </c>
    </row>
    <row r="17" spans="1:53" ht="18" thickBot="1">
      <c r="A17" s="296" t="s">
        <v>11</v>
      </c>
      <c r="B17" s="297"/>
      <c r="C17" s="298"/>
      <c r="D17" s="279">
        <v>-0.02</v>
      </c>
      <c r="E17" s="282"/>
      <c r="F17" s="280">
        <v>0.16</v>
      </c>
      <c r="G17" s="282"/>
      <c r="H17" s="280"/>
      <c r="I17" s="281"/>
      <c r="J17" s="279"/>
      <c r="K17" s="282"/>
      <c r="L17" s="280"/>
      <c r="M17" s="281"/>
      <c r="N17" s="280">
        <v>2.51</v>
      </c>
      <c r="O17" s="282">
        <v>0.5</v>
      </c>
      <c r="P17" s="300"/>
      <c r="Q17" s="301"/>
      <c r="R17" s="302">
        <v>27.98</v>
      </c>
      <c r="S17" s="303">
        <v>18.42</v>
      </c>
      <c r="T17" s="302"/>
      <c r="U17" s="1021">
        <v>0.02</v>
      </c>
      <c r="V17" s="302">
        <v>0.05</v>
      </c>
      <c r="W17" s="303"/>
      <c r="X17" s="302"/>
      <c r="Y17" s="1021"/>
      <c r="Z17" s="299"/>
      <c r="AA17" s="303"/>
      <c r="AB17" s="280"/>
      <c r="AC17" s="281"/>
      <c r="AD17" s="279">
        <v>0.72</v>
      </c>
      <c r="AE17" s="282">
        <v>0.69</v>
      </c>
      <c r="AF17" s="280"/>
      <c r="AG17" s="281"/>
      <c r="AH17" s="279">
        <v>-0.19</v>
      </c>
      <c r="AI17" s="282">
        <v>-0.001</v>
      </c>
      <c r="AJ17" s="280"/>
      <c r="AK17" s="281"/>
      <c r="AL17" s="279"/>
      <c r="AM17" s="282"/>
      <c r="AN17" s="612"/>
      <c r="AO17" s="304"/>
      <c r="AP17" s="1327"/>
      <c r="AQ17" s="283"/>
      <c r="AR17" s="284"/>
      <c r="AS17" s="1027"/>
      <c r="AT17" s="279"/>
      <c r="AU17" s="282"/>
      <c r="AV17" s="286">
        <f t="shared" si="0"/>
        <v>31.209999999999997</v>
      </c>
      <c r="AW17" s="1340">
        <f t="shared" si="1"/>
        <v>19.629</v>
      </c>
      <c r="AX17" s="287"/>
      <c r="AY17" s="285"/>
      <c r="AZ17" s="286">
        <f t="shared" si="2"/>
        <v>31.209999999999997</v>
      </c>
      <c r="BA17" s="288">
        <f t="shared" si="3"/>
        <v>19.629</v>
      </c>
    </row>
    <row r="18" spans="1:53" s="693" customFormat="1" ht="18.75" thickBot="1">
      <c r="A18" s="694" t="s">
        <v>12</v>
      </c>
      <c r="B18" s="695">
        <f aca="true" t="shared" si="6" ref="B18:AG18">B16+B17</f>
        <v>1798</v>
      </c>
      <c r="C18" s="696">
        <f t="shared" si="6"/>
        <v>1803</v>
      </c>
      <c r="D18" s="697">
        <f t="shared" si="6"/>
        <v>102.53</v>
      </c>
      <c r="E18" s="698">
        <f t="shared" si="6"/>
        <v>73.2</v>
      </c>
      <c r="F18" s="695">
        <f t="shared" si="6"/>
        <v>175.16</v>
      </c>
      <c r="G18" s="698">
        <f t="shared" si="6"/>
        <v>0</v>
      </c>
      <c r="H18" s="695">
        <f t="shared" si="6"/>
        <v>1802</v>
      </c>
      <c r="I18" s="696">
        <f t="shared" si="6"/>
        <v>1999</v>
      </c>
      <c r="J18" s="697">
        <f t="shared" si="6"/>
        <v>645</v>
      </c>
      <c r="K18" s="698">
        <f t="shared" si="6"/>
        <v>634</v>
      </c>
      <c r="L18" s="695">
        <f t="shared" si="6"/>
        <v>967.0200000000001</v>
      </c>
      <c r="M18" s="696">
        <f t="shared" si="6"/>
        <v>1092.72</v>
      </c>
      <c r="N18" s="695">
        <f t="shared" si="6"/>
        <v>315.17</v>
      </c>
      <c r="O18" s="698">
        <f t="shared" si="6"/>
        <v>165.89</v>
      </c>
      <c r="P18" s="695">
        <f t="shared" si="6"/>
        <v>353.88</v>
      </c>
      <c r="Q18" s="698">
        <f t="shared" si="6"/>
        <v>331.11</v>
      </c>
      <c r="R18" s="695">
        <f t="shared" si="6"/>
        <v>719.44</v>
      </c>
      <c r="S18" s="698">
        <f t="shared" si="6"/>
        <v>773.3499999999999</v>
      </c>
      <c r="T18" s="695">
        <f t="shared" si="6"/>
        <v>380.6</v>
      </c>
      <c r="U18" s="696">
        <f t="shared" si="6"/>
        <v>371.84</v>
      </c>
      <c r="V18" s="695">
        <f t="shared" si="6"/>
        <v>7644.900000000001</v>
      </c>
      <c r="W18" s="698">
        <f t="shared" si="6"/>
        <v>8463.39</v>
      </c>
      <c r="X18" s="695">
        <f t="shared" si="6"/>
        <v>8140.099999999999</v>
      </c>
      <c r="Y18" s="696">
        <f t="shared" si="6"/>
        <v>7874.2</v>
      </c>
      <c r="Z18" s="697">
        <f t="shared" si="6"/>
        <v>644.2499999999999</v>
      </c>
      <c r="AA18" s="698">
        <f t="shared" si="6"/>
        <v>407</v>
      </c>
      <c r="AB18" s="695">
        <f t="shared" si="6"/>
        <v>700.5799999999999</v>
      </c>
      <c r="AC18" s="696">
        <f t="shared" si="6"/>
        <v>867.7000000000002</v>
      </c>
      <c r="AD18" s="697">
        <f t="shared" si="6"/>
        <v>2131.62</v>
      </c>
      <c r="AE18" s="698">
        <f t="shared" si="6"/>
        <v>2398.7200000000003</v>
      </c>
      <c r="AF18" s="695">
        <f t="shared" si="6"/>
        <v>4746.7</v>
      </c>
      <c r="AG18" s="696">
        <f t="shared" si="6"/>
        <v>5130.889999999999</v>
      </c>
      <c r="AH18" s="697">
        <f aca="true" t="shared" si="7" ref="AH18:AU18">AH16+AH17</f>
        <v>1393.46</v>
      </c>
      <c r="AI18" s="698">
        <f t="shared" si="7"/>
        <v>1309.879</v>
      </c>
      <c r="AJ18" s="695">
        <f t="shared" si="7"/>
        <v>902.09</v>
      </c>
      <c r="AK18" s="696">
        <f t="shared" si="7"/>
        <v>941.2600000000001</v>
      </c>
      <c r="AL18" s="697">
        <f t="shared" si="7"/>
        <v>0</v>
      </c>
      <c r="AM18" s="698">
        <f t="shared" si="7"/>
        <v>0</v>
      </c>
      <c r="AN18" s="697">
        <f t="shared" si="7"/>
        <v>9637</v>
      </c>
      <c r="AO18" s="698">
        <f t="shared" si="7"/>
        <v>11245</v>
      </c>
      <c r="AP18" s="695">
        <f t="shared" si="7"/>
        <v>507.96</v>
      </c>
      <c r="AQ18" s="698">
        <f t="shared" si="7"/>
        <v>485.8499999999999</v>
      </c>
      <c r="AR18" s="695">
        <f t="shared" si="7"/>
        <v>608.55</v>
      </c>
      <c r="AS18" s="696">
        <f t="shared" si="7"/>
        <v>643.2252</v>
      </c>
      <c r="AT18" s="697">
        <f t="shared" si="7"/>
        <v>2351.38</v>
      </c>
      <c r="AU18" s="698">
        <f t="shared" si="7"/>
        <v>3081.2699999999995</v>
      </c>
      <c r="AV18" s="699">
        <f t="shared" si="0"/>
        <v>46667.38999999999</v>
      </c>
      <c r="AW18" s="1341">
        <f t="shared" si="1"/>
        <v>50092.4942</v>
      </c>
      <c r="AX18" s="700">
        <f>AX16+AX17</f>
        <v>51026.100000000006</v>
      </c>
      <c r="AY18" s="701">
        <f>AY16+AY17</f>
        <v>0</v>
      </c>
      <c r="AZ18" s="699">
        <f t="shared" si="2"/>
        <v>97693.48999999999</v>
      </c>
      <c r="BA18" s="701">
        <f t="shared" si="3"/>
        <v>50092.4942</v>
      </c>
    </row>
    <row r="19" spans="46:47" ht="16.5">
      <c r="AT19" s="99"/>
      <c r="AU19" s="99"/>
    </row>
  </sheetData>
  <sheetProtection/>
  <mergeCells count="26">
    <mergeCell ref="X3:Y3"/>
    <mergeCell ref="Z3:AA3"/>
    <mergeCell ref="AF3:AG3"/>
    <mergeCell ref="V3:W3"/>
    <mergeCell ref="AB3:AC3"/>
    <mergeCell ref="AD3:AE3"/>
    <mergeCell ref="AZ3:BA3"/>
    <mergeCell ref="AV3:AW3"/>
    <mergeCell ref="AX3:AY3"/>
    <mergeCell ref="AH3:AI3"/>
    <mergeCell ref="AJ3:AK3"/>
    <mergeCell ref="AL3:AM3"/>
    <mergeCell ref="AN3:AO3"/>
    <mergeCell ref="AP3:AQ3"/>
    <mergeCell ref="AR3:AS3"/>
    <mergeCell ref="AT3:AU3"/>
    <mergeCell ref="B3:C3"/>
    <mergeCell ref="F3:G3"/>
    <mergeCell ref="H3:I3"/>
    <mergeCell ref="J3:K3"/>
    <mergeCell ref="L3:M3"/>
    <mergeCell ref="T3:U3"/>
    <mergeCell ref="R3:S3"/>
    <mergeCell ref="P3:Q3"/>
    <mergeCell ref="N3:O3"/>
    <mergeCell ref="D3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18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1" sqref="A1:AY1"/>
    </sheetView>
  </sheetViews>
  <sheetFormatPr defaultColWidth="9.140625" defaultRowHeight="15"/>
  <cols>
    <col min="1" max="1" width="54.57421875" style="13" customWidth="1"/>
    <col min="2" max="25" width="12.421875" style="13" bestFit="1" customWidth="1"/>
    <col min="26" max="27" width="12.421875" style="44" bestFit="1" customWidth="1"/>
    <col min="28" max="53" width="12.421875" style="13" bestFit="1" customWidth="1"/>
    <col min="54" max="54" width="9.57421875" style="13" bestFit="1" customWidth="1"/>
    <col min="55" max="16384" width="9.140625" style="13" customWidth="1"/>
  </cols>
  <sheetData>
    <row r="1" spans="1:53" ht="28.5" customHeight="1">
      <c r="A1" s="1855" t="s">
        <v>183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  <c r="U1" s="1855"/>
      <c r="V1" s="1855"/>
      <c r="W1" s="1855"/>
      <c r="X1" s="1855"/>
      <c r="Y1" s="1855"/>
      <c r="Z1" s="1855"/>
      <c r="AA1" s="1855"/>
      <c r="AB1" s="1855"/>
      <c r="AC1" s="1855"/>
      <c r="AD1" s="1855"/>
      <c r="AE1" s="1855"/>
      <c r="AF1" s="1855"/>
      <c r="AG1" s="1855"/>
      <c r="AH1" s="1855"/>
      <c r="AI1" s="1855"/>
      <c r="AJ1" s="1855"/>
      <c r="AK1" s="1855"/>
      <c r="AL1" s="1855"/>
      <c r="AM1" s="1855"/>
      <c r="AN1" s="1855"/>
      <c r="AO1" s="1855"/>
      <c r="AP1" s="1855"/>
      <c r="AQ1" s="1855"/>
      <c r="AR1" s="1855"/>
      <c r="AS1" s="1855"/>
      <c r="AT1" s="1855"/>
      <c r="AU1" s="1855"/>
      <c r="AV1" s="1855"/>
      <c r="AW1" s="1855"/>
      <c r="AX1" s="1855"/>
      <c r="AY1" s="1855"/>
      <c r="AZ1" s="49"/>
      <c r="BA1" s="49"/>
    </row>
    <row r="2" spans="1:53" ht="15" thickBot="1">
      <c r="A2" s="1730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1730"/>
      <c r="Y2" s="1730"/>
      <c r="Z2" s="1730"/>
      <c r="AA2" s="1730"/>
      <c r="AB2" s="1730"/>
      <c r="AC2" s="1730"/>
      <c r="AD2" s="1730"/>
      <c r="AE2" s="1730"/>
      <c r="AF2" s="1730"/>
      <c r="AG2" s="1730"/>
      <c r="AH2" s="1730"/>
      <c r="AI2" s="1730"/>
      <c r="AJ2" s="1730"/>
      <c r="AK2" s="1730"/>
      <c r="AL2" s="1730"/>
      <c r="AM2" s="1730"/>
      <c r="AN2" s="1730"/>
      <c r="AO2" s="1730"/>
      <c r="AP2" s="1730"/>
      <c r="AQ2" s="1730"/>
      <c r="AR2" s="1730"/>
      <c r="AS2" s="1730"/>
      <c r="AT2" s="1730"/>
      <c r="AU2" s="1730"/>
      <c r="AV2" s="1730"/>
      <c r="AW2" s="1730"/>
      <c r="AX2" s="1730"/>
      <c r="AY2" s="1730"/>
      <c r="AZ2" s="50"/>
      <c r="BA2" s="50"/>
    </row>
    <row r="3" spans="1:53" s="1282" customFormat="1" ht="46.5" customHeight="1" thickBot="1">
      <c r="A3" s="1856" t="s">
        <v>14</v>
      </c>
      <c r="B3" s="1736" t="s">
        <v>184</v>
      </c>
      <c r="C3" s="1734"/>
      <c r="D3" s="1741" t="s">
        <v>185</v>
      </c>
      <c r="E3" s="1742"/>
      <c r="F3" s="1741" t="s">
        <v>186</v>
      </c>
      <c r="G3" s="1742"/>
      <c r="H3" s="1741" t="s">
        <v>187</v>
      </c>
      <c r="I3" s="1742"/>
      <c r="J3" s="1736" t="s">
        <v>188</v>
      </c>
      <c r="K3" s="1734"/>
      <c r="L3" s="1736" t="s">
        <v>189</v>
      </c>
      <c r="M3" s="1734"/>
      <c r="N3" s="1736" t="s">
        <v>527</v>
      </c>
      <c r="O3" s="1734"/>
      <c r="P3" s="1736" t="s">
        <v>190</v>
      </c>
      <c r="Q3" s="1734"/>
      <c r="R3" s="1736" t="s">
        <v>191</v>
      </c>
      <c r="S3" s="1734"/>
      <c r="T3" s="1741" t="s">
        <v>192</v>
      </c>
      <c r="U3" s="1742"/>
      <c r="V3" s="1741" t="s">
        <v>193</v>
      </c>
      <c r="W3" s="1742"/>
      <c r="X3" s="1741" t="s">
        <v>194</v>
      </c>
      <c r="Y3" s="1742"/>
      <c r="Z3" s="1696" t="s">
        <v>195</v>
      </c>
      <c r="AA3" s="1697"/>
      <c r="AB3" s="1741" t="s">
        <v>196</v>
      </c>
      <c r="AC3" s="1742"/>
      <c r="AD3" s="1858" t="s">
        <v>197</v>
      </c>
      <c r="AE3" s="1859"/>
      <c r="AF3" s="1741" t="s">
        <v>198</v>
      </c>
      <c r="AG3" s="1742"/>
      <c r="AH3" s="1741" t="s">
        <v>199</v>
      </c>
      <c r="AI3" s="1742"/>
      <c r="AJ3" s="1741" t="s">
        <v>200</v>
      </c>
      <c r="AK3" s="1860"/>
      <c r="AL3" s="1858" t="s">
        <v>201</v>
      </c>
      <c r="AM3" s="1859"/>
      <c r="AN3" s="1741" t="s">
        <v>202</v>
      </c>
      <c r="AO3" s="1742"/>
      <c r="AP3" s="1741" t="s">
        <v>203</v>
      </c>
      <c r="AQ3" s="1742"/>
      <c r="AR3" s="1741" t="s">
        <v>204</v>
      </c>
      <c r="AS3" s="1742"/>
      <c r="AT3" s="1741" t="s">
        <v>205</v>
      </c>
      <c r="AU3" s="1742"/>
      <c r="AV3" s="1741" t="s">
        <v>1</v>
      </c>
      <c r="AW3" s="1742"/>
      <c r="AX3" s="1858" t="s">
        <v>206</v>
      </c>
      <c r="AY3" s="1859"/>
      <c r="AZ3" s="1858" t="s">
        <v>2</v>
      </c>
      <c r="BA3" s="1859"/>
    </row>
    <row r="4" spans="1:53" ht="15" thickBot="1">
      <c r="A4" s="1857"/>
      <c r="B4" s="682" t="s">
        <v>277</v>
      </c>
      <c r="C4" s="683" t="s">
        <v>446</v>
      </c>
      <c r="D4" s="682" t="s">
        <v>277</v>
      </c>
      <c r="E4" s="683" t="s">
        <v>446</v>
      </c>
      <c r="F4" s="682" t="s">
        <v>277</v>
      </c>
      <c r="G4" s="683" t="s">
        <v>446</v>
      </c>
      <c r="H4" s="682" t="s">
        <v>277</v>
      </c>
      <c r="I4" s="683" t="s">
        <v>446</v>
      </c>
      <c r="J4" s="682" t="s">
        <v>277</v>
      </c>
      <c r="K4" s="683" t="s">
        <v>446</v>
      </c>
      <c r="L4" s="682" t="s">
        <v>277</v>
      </c>
      <c r="M4" s="683" t="s">
        <v>446</v>
      </c>
      <c r="N4" s="682" t="s">
        <v>277</v>
      </c>
      <c r="O4" s="683" t="s">
        <v>446</v>
      </c>
      <c r="P4" s="682" t="s">
        <v>277</v>
      </c>
      <c r="Q4" s="683" t="s">
        <v>446</v>
      </c>
      <c r="R4" s="682" t="s">
        <v>277</v>
      </c>
      <c r="S4" s="683" t="s">
        <v>446</v>
      </c>
      <c r="T4" s="682" t="s">
        <v>277</v>
      </c>
      <c r="U4" s="683" t="s">
        <v>446</v>
      </c>
      <c r="V4" s="682" t="s">
        <v>277</v>
      </c>
      <c r="W4" s="683" t="s">
        <v>446</v>
      </c>
      <c r="X4" s="682" t="s">
        <v>277</v>
      </c>
      <c r="Y4" s="683" t="s">
        <v>446</v>
      </c>
      <c r="Z4" s="682" t="s">
        <v>277</v>
      </c>
      <c r="AA4" s="683" t="s">
        <v>446</v>
      </c>
      <c r="AB4" s="682" t="s">
        <v>277</v>
      </c>
      <c r="AC4" s="683" t="s">
        <v>446</v>
      </c>
      <c r="AD4" s="682" t="s">
        <v>277</v>
      </c>
      <c r="AE4" s="683" t="s">
        <v>446</v>
      </c>
      <c r="AF4" s="682" t="s">
        <v>277</v>
      </c>
      <c r="AG4" s="683" t="s">
        <v>446</v>
      </c>
      <c r="AH4" s="682" t="s">
        <v>277</v>
      </c>
      <c r="AI4" s="683" t="s">
        <v>446</v>
      </c>
      <c r="AJ4" s="682" t="s">
        <v>277</v>
      </c>
      <c r="AK4" s="683" t="s">
        <v>446</v>
      </c>
      <c r="AL4" s="682" t="s">
        <v>277</v>
      </c>
      <c r="AM4" s="683" t="s">
        <v>446</v>
      </c>
      <c r="AN4" s="682" t="s">
        <v>277</v>
      </c>
      <c r="AO4" s="683" t="s">
        <v>446</v>
      </c>
      <c r="AP4" s="682" t="s">
        <v>277</v>
      </c>
      <c r="AQ4" s="683" t="s">
        <v>446</v>
      </c>
      <c r="AR4" s="682" t="s">
        <v>277</v>
      </c>
      <c r="AS4" s="683" t="s">
        <v>446</v>
      </c>
      <c r="AT4" s="682" t="s">
        <v>277</v>
      </c>
      <c r="AU4" s="683" t="s">
        <v>446</v>
      </c>
      <c r="AV4" s="682" t="s">
        <v>277</v>
      </c>
      <c r="AW4" s="683" t="s">
        <v>446</v>
      </c>
      <c r="AX4" s="682" t="s">
        <v>277</v>
      </c>
      <c r="AY4" s="683" t="s">
        <v>446</v>
      </c>
      <c r="AZ4" s="682" t="s">
        <v>277</v>
      </c>
      <c r="BA4" s="683" t="s">
        <v>446</v>
      </c>
    </row>
    <row r="5" spans="1:54" ht="15">
      <c r="A5" s="51" t="s">
        <v>3</v>
      </c>
      <c r="B5" s="52">
        <v>162526</v>
      </c>
      <c r="C5" s="53">
        <v>139065</v>
      </c>
      <c r="D5" s="55">
        <v>-15</v>
      </c>
      <c r="E5" s="56">
        <v>5</v>
      </c>
      <c r="F5" s="55">
        <v>9881</v>
      </c>
      <c r="G5" s="56"/>
      <c r="H5" s="55">
        <v>161302</v>
      </c>
      <c r="I5" s="56">
        <v>126017</v>
      </c>
      <c r="J5" s="55">
        <v>71418</v>
      </c>
      <c r="K5" s="56">
        <v>57815</v>
      </c>
      <c r="L5" s="48"/>
      <c r="M5" s="57">
        <v>367</v>
      </c>
      <c r="N5" s="55">
        <v>21037</v>
      </c>
      <c r="O5" s="56">
        <v>14367</v>
      </c>
      <c r="P5" s="55">
        <v>46727</v>
      </c>
      <c r="Q5" s="56">
        <v>41147</v>
      </c>
      <c r="R5" s="55">
        <v>89631</v>
      </c>
      <c r="S5" s="56">
        <v>83272</v>
      </c>
      <c r="T5" s="55">
        <v>11038</v>
      </c>
      <c r="U5" s="56">
        <v>6181</v>
      </c>
      <c r="V5" s="55">
        <v>148305</v>
      </c>
      <c r="W5" s="56">
        <v>145075</v>
      </c>
      <c r="X5" s="55">
        <v>180067</v>
      </c>
      <c r="Y5" s="56">
        <v>169190</v>
      </c>
      <c r="Z5" s="47">
        <v>10120</v>
      </c>
      <c r="AA5" s="58">
        <v>4377</v>
      </c>
      <c r="AB5" s="55">
        <v>5798</v>
      </c>
      <c r="AC5" s="56">
        <v>6796</v>
      </c>
      <c r="AD5" s="55">
        <v>160175</v>
      </c>
      <c r="AE5" s="56">
        <v>151522</v>
      </c>
      <c r="AF5" s="55">
        <v>159875</v>
      </c>
      <c r="AG5" s="56">
        <v>147935</v>
      </c>
      <c r="AH5" s="55">
        <v>8564</v>
      </c>
      <c r="AI5" s="56">
        <v>8310</v>
      </c>
      <c r="AJ5" s="198">
        <v>117216</v>
      </c>
      <c r="AK5" s="530">
        <v>101858</v>
      </c>
      <c r="AL5" s="522"/>
      <c r="AM5" s="333"/>
      <c r="AN5" s="527">
        <v>562730</v>
      </c>
      <c r="AO5" s="528">
        <v>573167</v>
      </c>
      <c r="AP5" s="59">
        <v>7947</v>
      </c>
      <c r="AQ5" s="60">
        <v>5688</v>
      </c>
      <c r="AR5" s="61">
        <v>391</v>
      </c>
      <c r="AS5" s="62">
        <v>30</v>
      </c>
      <c r="AT5" s="55">
        <v>122754</v>
      </c>
      <c r="AU5" s="56">
        <v>132321</v>
      </c>
      <c r="AV5" s="45">
        <f aca="true" t="shared" si="0" ref="AV5:AV18">SUM(B5+D5+F5+H5+J5+L5+N5+P5+R5+T5+V5+X5+Z5+AB5+AD5+AF5+AH5+AJ5+AL5+AN5+AP5+AR5+AT5)</f>
        <v>2057487</v>
      </c>
      <c r="AW5" s="232">
        <f aca="true" t="shared" si="1" ref="AW5:AW18">SUM(C5+E5+G5+I5+K5+M5+O5+Q5+S5+U5+W5+Y5+AA5+AC5+AE5+AG5+AI5+AK5+AM5+AO5+AQ5+AS5+AU5)</f>
        <v>1914505</v>
      </c>
      <c r="AX5" s="61">
        <v>20489434</v>
      </c>
      <c r="AY5" s="62"/>
      <c r="AZ5" s="63">
        <f aca="true" t="shared" si="2" ref="AZ5:AZ18">AV5+AX5</f>
        <v>22546921</v>
      </c>
      <c r="BA5" s="64">
        <f aca="true" t="shared" si="3" ref="BA5:BA18">AW5+AY5</f>
        <v>1914505</v>
      </c>
      <c r="BB5" s="65"/>
    </row>
    <row r="6" spans="1:53" ht="15">
      <c r="A6" s="51" t="s">
        <v>4</v>
      </c>
      <c r="B6" s="14">
        <v>87934</v>
      </c>
      <c r="C6" s="66">
        <v>106631</v>
      </c>
      <c r="D6" s="22">
        <v>3285</v>
      </c>
      <c r="E6" s="26">
        <v>61</v>
      </c>
      <c r="F6" s="22">
        <v>10232</v>
      </c>
      <c r="G6" s="26"/>
      <c r="H6" s="22">
        <v>55084</v>
      </c>
      <c r="I6" s="26">
        <v>83504</v>
      </c>
      <c r="J6" s="22">
        <v>52</v>
      </c>
      <c r="K6" s="26">
        <v>68007</v>
      </c>
      <c r="L6" s="22">
        <v>120909</v>
      </c>
      <c r="M6" s="26">
        <v>139699</v>
      </c>
      <c r="N6" s="22">
        <v>4267</v>
      </c>
      <c r="O6" s="26">
        <v>1871</v>
      </c>
      <c r="P6" s="22">
        <v>6602</v>
      </c>
      <c r="Q6" s="26">
        <v>7258</v>
      </c>
      <c r="R6" s="22">
        <v>16941</v>
      </c>
      <c r="S6" s="26">
        <v>15552</v>
      </c>
      <c r="T6" s="22">
        <v>23067</v>
      </c>
      <c r="U6" s="26">
        <v>22245</v>
      </c>
      <c r="V6" s="22">
        <v>404205</v>
      </c>
      <c r="W6" s="26">
        <v>349722</v>
      </c>
      <c r="X6" s="22">
        <v>486135</v>
      </c>
      <c r="Y6" s="26">
        <v>375993</v>
      </c>
      <c r="Z6" s="27">
        <v>88679</v>
      </c>
      <c r="AA6" s="28">
        <v>41605</v>
      </c>
      <c r="AB6" s="22">
        <v>134733</v>
      </c>
      <c r="AC6" s="26">
        <v>134770</v>
      </c>
      <c r="AD6" s="22">
        <v>104253</v>
      </c>
      <c r="AE6" s="26">
        <v>91116</v>
      </c>
      <c r="AF6" s="22">
        <v>364039</v>
      </c>
      <c r="AG6" s="26">
        <v>334023</v>
      </c>
      <c r="AH6" s="22">
        <v>142316</v>
      </c>
      <c r="AI6" s="26">
        <v>129190</v>
      </c>
      <c r="AJ6" s="198">
        <v>9634</v>
      </c>
      <c r="AK6" s="23">
        <v>4639</v>
      </c>
      <c r="AL6" s="2"/>
      <c r="AM6" s="4"/>
      <c r="AN6" s="20">
        <v>932799</v>
      </c>
      <c r="AO6" s="21">
        <v>927096</v>
      </c>
      <c r="AP6" s="30">
        <v>709</v>
      </c>
      <c r="AQ6" s="31">
        <v>1019</v>
      </c>
      <c r="AR6" s="32">
        <v>94156</v>
      </c>
      <c r="AS6" s="33">
        <v>76538</v>
      </c>
      <c r="AT6" s="22">
        <v>116152</v>
      </c>
      <c r="AU6" s="26">
        <v>170611</v>
      </c>
      <c r="AV6" s="45">
        <f t="shared" si="0"/>
        <v>3206183</v>
      </c>
      <c r="AW6" s="232">
        <f t="shared" si="1"/>
        <v>3081150</v>
      </c>
      <c r="AX6" s="32">
        <v>190423</v>
      </c>
      <c r="AY6" s="33"/>
      <c r="AZ6" s="63">
        <f t="shared" si="2"/>
        <v>3396606</v>
      </c>
      <c r="BA6" s="64">
        <f t="shared" si="3"/>
        <v>3081150</v>
      </c>
    </row>
    <row r="7" spans="1:53" ht="15">
      <c r="A7" s="51" t="s">
        <v>5</v>
      </c>
      <c r="B7" s="14">
        <v>23</v>
      </c>
      <c r="C7" s="66">
        <v>74</v>
      </c>
      <c r="D7" s="22">
        <v>438</v>
      </c>
      <c r="E7" s="26">
        <v>427</v>
      </c>
      <c r="F7" s="22">
        <v>1885</v>
      </c>
      <c r="G7" s="26"/>
      <c r="H7" s="22">
        <v>24827</v>
      </c>
      <c r="I7" s="26">
        <v>40041</v>
      </c>
      <c r="J7" s="22">
        <v>18519</v>
      </c>
      <c r="K7" s="26">
        <v>14721</v>
      </c>
      <c r="L7" s="22">
        <v>506</v>
      </c>
      <c r="M7" s="26">
        <v>1119</v>
      </c>
      <c r="N7" s="22">
        <v>14335</v>
      </c>
      <c r="O7" s="26">
        <v>2234</v>
      </c>
      <c r="P7" s="22">
        <v>6163</v>
      </c>
      <c r="Q7" s="26">
        <v>2783</v>
      </c>
      <c r="R7" s="22">
        <v>14258</v>
      </c>
      <c r="S7" s="26">
        <v>11685</v>
      </c>
      <c r="T7" s="22">
        <v>8266</v>
      </c>
      <c r="U7" s="26">
        <v>6245</v>
      </c>
      <c r="V7" s="22">
        <v>87874</v>
      </c>
      <c r="W7" s="26">
        <v>53690</v>
      </c>
      <c r="X7" s="22">
        <v>32991</v>
      </c>
      <c r="Y7" s="26">
        <v>29297</v>
      </c>
      <c r="Z7" s="27"/>
      <c r="AA7" s="28"/>
      <c r="AB7" s="22">
        <v>1603</v>
      </c>
      <c r="AC7" s="26">
        <v>16641</v>
      </c>
      <c r="AD7" s="22">
        <v>288</v>
      </c>
      <c r="AE7" s="26">
        <v>1103</v>
      </c>
      <c r="AF7" s="22">
        <v>15220</v>
      </c>
      <c r="AG7" s="26">
        <v>8576</v>
      </c>
      <c r="AH7" s="22"/>
      <c r="AI7" s="26">
        <v>1826</v>
      </c>
      <c r="AJ7" s="198">
        <v>17143</v>
      </c>
      <c r="AK7" s="23">
        <v>19115</v>
      </c>
      <c r="AL7" s="2"/>
      <c r="AM7" s="4"/>
      <c r="AN7" s="20">
        <v>19911</v>
      </c>
      <c r="AO7" s="21">
        <v>38620</v>
      </c>
      <c r="AP7" s="30">
        <v>173798</v>
      </c>
      <c r="AQ7" s="31">
        <v>166000</v>
      </c>
      <c r="AR7" s="32"/>
      <c r="AS7" s="33"/>
      <c r="AT7" s="22">
        <v>4209</v>
      </c>
      <c r="AU7" s="26">
        <v>4104</v>
      </c>
      <c r="AV7" s="45">
        <f t="shared" si="0"/>
        <v>442257</v>
      </c>
      <c r="AW7" s="232">
        <f t="shared" si="1"/>
        <v>418301</v>
      </c>
      <c r="AX7" s="32">
        <v>37168</v>
      </c>
      <c r="AY7" s="33"/>
      <c r="AZ7" s="63">
        <f t="shared" si="2"/>
        <v>479425</v>
      </c>
      <c r="BA7" s="64">
        <f t="shared" si="3"/>
        <v>418301</v>
      </c>
    </row>
    <row r="8" spans="1:53" ht="15">
      <c r="A8" s="51" t="s">
        <v>6</v>
      </c>
      <c r="B8" s="14">
        <v>5711</v>
      </c>
      <c r="C8" s="66">
        <v>709</v>
      </c>
      <c r="D8" s="22">
        <v>744</v>
      </c>
      <c r="E8" s="26">
        <v>971</v>
      </c>
      <c r="F8" s="22">
        <v>2008</v>
      </c>
      <c r="G8" s="26"/>
      <c r="H8" s="22">
        <v>15768</v>
      </c>
      <c r="I8" s="26">
        <v>14284</v>
      </c>
      <c r="J8" s="22">
        <v>40865</v>
      </c>
      <c r="K8" s="26">
        <v>39643</v>
      </c>
      <c r="L8" s="22"/>
      <c r="M8" s="26">
        <v>1809</v>
      </c>
      <c r="N8" s="22">
        <v>-33</v>
      </c>
      <c r="O8" s="26">
        <v>-32</v>
      </c>
      <c r="P8" s="22">
        <v>1947</v>
      </c>
      <c r="Q8" s="26">
        <v>2396</v>
      </c>
      <c r="R8" s="22">
        <v>59583</v>
      </c>
      <c r="S8" s="26">
        <v>61939</v>
      </c>
      <c r="T8" s="22">
        <v>528</v>
      </c>
      <c r="U8" s="26">
        <v>681</v>
      </c>
      <c r="V8" s="22">
        <v>39973</v>
      </c>
      <c r="W8" s="26">
        <v>52114</v>
      </c>
      <c r="X8" s="22">
        <v>43345</v>
      </c>
      <c r="Y8" s="26">
        <v>39744</v>
      </c>
      <c r="Z8" s="27">
        <v>799</v>
      </c>
      <c r="AA8" s="28">
        <v>330</v>
      </c>
      <c r="AB8" s="22">
        <v>4212</v>
      </c>
      <c r="AC8" s="26">
        <v>2559</v>
      </c>
      <c r="AD8" s="22">
        <v>6520</v>
      </c>
      <c r="AE8" s="26">
        <v>5783</v>
      </c>
      <c r="AF8" s="22">
        <v>-26</v>
      </c>
      <c r="AG8" s="26">
        <v>-37</v>
      </c>
      <c r="AH8" s="22">
        <v>3930</v>
      </c>
      <c r="AI8" s="26">
        <v>3800</v>
      </c>
      <c r="AJ8" s="198">
        <v>16953</v>
      </c>
      <c r="AK8" s="23">
        <v>13647</v>
      </c>
      <c r="AL8" s="2"/>
      <c r="AM8" s="4"/>
      <c r="AN8" s="526">
        <v>208</v>
      </c>
      <c r="AO8" s="529">
        <v>200</v>
      </c>
      <c r="AP8" s="30">
        <v>6643</v>
      </c>
      <c r="AQ8" s="31">
        <v>10013</v>
      </c>
      <c r="AR8" s="32">
        <v>-1</v>
      </c>
      <c r="AS8" s="33">
        <v>-1</v>
      </c>
      <c r="AT8" s="22">
        <v>31385</v>
      </c>
      <c r="AU8" s="26">
        <v>25145</v>
      </c>
      <c r="AV8" s="45">
        <f t="shared" si="0"/>
        <v>281062</v>
      </c>
      <c r="AW8" s="232">
        <f t="shared" si="1"/>
        <v>275697</v>
      </c>
      <c r="AX8" s="32">
        <v>1611</v>
      </c>
      <c r="AY8" s="33"/>
      <c r="AZ8" s="63">
        <f t="shared" si="2"/>
        <v>282673</v>
      </c>
      <c r="BA8" s="64">
        <f t="shared" si="3"/>
        <v>275697</v>
      </c>
    </row>
    <row r="9" spans="1:53" ht="15">
      <c r="A9" s="51" t="s">
        <v>7</v>
      </c>
      <c r="B9" s="14">
        <v>14827</v>
      </c>
      <c r="C9" s="66">
        <v>3866</v>
      </c>
      <c r="D9" s="22"/>
      <c r="E9" s="26"/>
      <c r="F9" s="22"/>
      <c r="G9" s="26"/>
      <c r="H9" s="22">
        <v>73</v>
      </c>
      <c r="I9" s="26"/>
      <c r="J9" s="22"/>
      <c r="K9" s="26"/>
      <c r="L9" s="22"/>
      <c r="M9" s="26"/>
      <c r="N9" s="22"/>
      <c r="O9" s="26"/>
      <c r="P9" s="22">
        <v>429</v>
      </c>
      <c r="Q9" s="26">
        <v>788</v>
      </c>
      <c r="R9" s="22"/>
      <c r="S9" s="26"/>
      <c r="T9" s="22"/>
      <c r="U9" s="26"/>
      <c r="V9" s="22"/>
      <c r="W9" s="26"/>
      <c r="X9" s="22"/>
      <c r="Y9" s="26"/>
      <c r="Z9" s="27"/>
      <c r="AA9" s="28"/>
      <c r="AB9" s="22">
        <v>0</v>
      </c>
      <c r="AC9" s="26"/>
      <c r="AD9" s="245">
        <v>1403</v>
      </c>
      <c r="AE9" s="508">
        <v>2107</v>
      </c>
      <c r="AF9" s="22"/>
      <c r="AG9" s="26"/>
      <c r="AH9" s="22"/>
      <c r="AI9" s="26"/>
      <c r="AJ9" s="198"/>
      <c r="AK9" s="23"/>
      <c r="AL9" s="2"/>
      <c r="AM9" s="4"/>
      <c r="AN9" s="83"/>
      <c r="AO9" s="84"/>
      <c r="AP9" s="30"/>
      <c r="AQ9" s="31"/>
      <c r="AR9" s="32"/>
      <c r="AS9" s="33"/>
      <c r="AT9" s="22">
        <v>56796</v>
      </c>
      <c r="AU9" s="26">
        <v>84867</v>
      </c>
      <c r="AV9" s="55">
        <f t="shared" si="0"/>
        <v>73528</v>
      </c>
      <c r="AW9" s="56">
        <f t="shared" si="1"/>
        <v>91628</v>
      </c>
      <c r="AX9" s="22">
        <v>617653</v>
      </c>
      <c r="AY9" s="26"/>
      <c r="AZ9" s="54">
        <f t="shared" si="2"/>
        <v>691181</v>
      </c>
      <c r="BA9" s="1202">
        <f t="shared" si="3"/>
        <v>91628</v>
      </c>
    </row>
    <row r="10" spans="1:53" ht="15">
      <c r="A10" s="51" t="s">
        <v>15</v>
      </c>
      <c r="B10" s="14"/>
      <c r="C10" s="66"/>
      <c r="D10" s="22"/>
      <c r="E10" s="26"/>
      <c r="F10" s="22"/>
      <c r="G10" s="26"/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2"/>
      <c r="S10" s="26"/>
      <c r="T10" s="22"/>
      <c r="U10" s="26"/>
      <c r="V10" s="22"/>
      <c r="W10" s="26"/>
      <c r="X10" s="22"/>
      <c r="Y10" s="26"/>
      <c r="Z10" s="22"/>
      <c r="AA10" s="26"/>
      <c r="AB10" s="22">
        <v>27048</v>
      </c>
      <c r="AC10" s="26">
        <v>16583</v>
      </c>
      <c r="AD10" s="22">
        <v>71241</v>
      </c>
      <c r="AE10" s="26"/>
      <c r="AF10" s="22"/>
      <c r="AG10" s="26"/>
      <c r="AH10" s="22"/>
      <c r="AI10" s="26"/>
      <c r="AJ10" s="198"/>
      <c r="AK10" s="23"/>
      <c r="AL10" s="2"/>
      <c r="AM10" s="4"/>
      <c r="AN10" s="83"/>
      <c r="AO10" s="84"/>
      <c r="AP10" s="30"/>
      <c r="AQ10" s="31"/>
      <c r="AR10" s="32"/>
      <c r="AS10" s="33"/>
      <c r="AT10" s="22"/>
      <c r="AU10" s="26"/>
      <c r="AV10" s="45">
        <f t="shared" si="0"/>
        <v>98289</v>
      </c>
      <c r="AW10" s="232">
        <f t="shared" si="1"/>
        <v>16583</v>
      </c>
      <c r="AX10" s="32"/>
      <c r="AY10" s="33"/>
      <c r="AZ10" s="63">
        <f t="shared" si="2"/>
        <v>98289</v>
      </c>
      <c r="BA10" s="64">
        <f t="shared" si="3"/>
        <v>16583</v>
      </c>
    </row>
    <row r="11" spans="1:53" ht="15">
      <c r="A11" s="51" t="s">
        <v>8</v>
      </c>
      <c r="B11" s="14">
        <v>13836</v>
      </c>
      <c r="C11" s="66">
        <v>11477</v>
      </c>
      <c r="D11" s="22">
        <v>48419</v>
      </c>
      <c r="E11" s="26">
        <v>35903</v>
      </c>
      <c r="F11" s="22">
        <v>8148</v>
      </c>
      <c r="G11" s="26"/>
      <c r="H11" s="22">
        <v>21762</v>
      </c>
      <c r="I11" s="26">
        <v>20838</v>
      </c>
      <c r="J11" s="22">
        <v>36845</v>
      </c>
      <c r="K11" s="26">
        <v>27426</v>
      </c>
      <c r="L11" s="22">
        <v>7645</v>
      </c>
      <c r="M11" s="26">
        <v>6860</v>
      </c>
      <c r="N11" s="22">
        <v>31456</v>
      </c>
      <c r="O11" s="26">
        <v>21051</v>
      </c>
      <c r="P11" s="22">
        <v>19163</v>
      </c>
      <c r="Q11" s="26">
        <v>23945</v>
      </c>
      <c r="R11" s="22">
        <v>6731</v>
      </c>
      <c r="S11" s="26">
        <v>8972</v>
      </c>
      <c r="T11" s="22">
        <v>28559</v>
      </c>
      <c r="U11" s="26">
        <v>29757</v>
      </c>
      <c r="V11" s="22">
        <v>273560</v>
      </c>
      <c r="W11" s="26">
        <v>255808</v>
      </c>
      <c r="X11" s="22">
        <v>95276</v>
      </c>
      <c r="Y11" s="26">
        <v>80505</v>
      </c>
      <c r="Z11" s="22">
        <v>2205</v>
      </c>
      <c r="AA11" s="26">
        <v>1204</v>
      </c>
      <c r="AB11" s="22">
        <v>4398</v>
      </c>
      <c r="AC11" s="26">
        <v>10547</v>
      </c>
      <c r="AD11" s="22">
        <v>1997</v>
      </c>
      <c r="AE11" s="26">
        <v>62197</v>
      </c>
      <c r="AF11" s="22">
        <v>105774</v>
      </c>
      <c r="AG11" s="26">
        <v>106027</v>
      </c>
      <c r="AH11" s="22">
        <v>57246</v>
      </c>
      <c r="AI11" s="26">
        <v>47991</v>
      </c>
      <c r="AJ11" s="198">
        <v>64922</v>
      </c>
      <c r="AK11" s="23">
        <v>65435</v>
      </c>
      <c r="AL11" s="2"/>
      <c r="AM11" s="4"/>
      <c r="AN11" s="20">
        <v>9791</v>
      </c>
      <c r="AO11" s="21">
        <v>12093</v>
      </c>
      <c r="AP11" s="30">
        <v>83875</v>
      </c>
      <c r="AQ11" s="31">
        <v>88945</v>
      </c>
      <c r="AR11" s="32">
        <v>1453</v>
      </c>
      <c r="AS11" s="33">
        <v>1040</v>
      </c>
      <c r="AT11" s="22">
        <v>18381</v>
      </c>
      <c r="AU11" s="26">
        <v>24665</v>
      </c>
      <c r="AV11" s="45">
        <f t="shared" si="0"/>
        <v>941442</v>
      </c>
      <c r="AW11" s="232">
        <f t="shared" si="1"/>
        <v>942686</v>
      </c>
      <c r="AX11" s="32">
        <v>66531</v>
      </c>
      <c r="AY11" s="33"/>
      <c r="AZ11" s="63">
        <f t="shared" si="2"/>
        <v>1007973</v>
      </c>
      <c r="BA11" s="64">
        <f t="shared" si="3"/>
        <v>942686</v>
      </c>
    </row>
    <row r="12" spans="1:53" ht="15">
      <c r="A12" s="51" t="s">
        <v>16</v>
      </c>
      <c r="B12" s="14"/>
      <c r="C12" s="66"/>
      <c r="D12" s="22"/>
      <c r="E12" s="26"/>
      <c r="F12" s="22"/>
      <c r="G12" s="26"/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2">
        <v>66</v>
      </c>
      <c r="S12" s="26">
        <v>569</v>
      </c>
      <c r="T12" s="22"/>
      <c r="U12" s="26"/>
      <c r="V12" s="22"/>
      <c r="W12" s="26"/>
      <c r="X12" s="22"/>
      <c r="Y12" s="26"/>
      <c r="Z12" s="22"/>
      <c r="AA12" s="26"/>
      <c r="AB12" s="22"/>
      <c r="AC12" s="26"/>
      <c r="AD12" s="22"/>
      <c r="AE12" s="26">
        <v>1253</v>
      </c>
      <c r="AF12" s="22">
        <v>31</v>
      </c>
      <c r="AG12" s="26"/>
      <c r="AH12" s="22"/>
      <c r="AI12" s="26"/>
      <c r="AJ12" s="198"/>
      <c r="AK12" s="23"/>
      <c r="AL12" s="2"/>
      <c r="AM12" s="4"/>
      <c r="AN12" s="20"/>
      <c r="AO12" s="21"/>
      <c r="AP12" s="30"/>
      <c r="AQ12" s="31"/>
      <c r="AR12" s="32"/>
      <c r="AS12" s="33"/>
      <c r="AT12" s="22"/>
      <c r="AU12" s="26"/>
      <c r="AV12" s="45">
        <f t="shared" si="0"/>
        <v>97</v>
      </c>
      <c r="AW12" s="232">
        <f t="shared" si="1"/>
        <v>1822</v>
      </c>
      <c r="AX12" s="32"/>
      <c r="AY12" s="33"/>
      <c r="AZ12" s="63">
        <f t="shared" si="2"/>
        <v>97</v>
      </c>
      <c r="BA12" s="64">
        <f t="shared" si="3"/>
        <v>1822</v>
      </c>
    </row>
    <row r="13" spans="1:53" ht="15">
      <c r="A13" s="51" t="s">
        <v>17</v>
      </c>
      <c r="B13" s="14"/>
      <c r="C13" s="66"/>
      <c r="D13" s="22"/>
      <c r="E13" s="26">
        <v>6</v>
      </c>
      <c r="F13" s="22"/>
      <c r="G13" s="26"/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2">
        <v>338</v>
      </c>
      <c r="S13" s="26"/>
      <c r="T13" s="22"/>
      <c r="U13" s="26"/>
      <c r="V13" s="22">
        <v>199</v>
      </c>
      <c r="W13" s="26">
        <v>234</v>
      </c>
      <c r="X13" s="22">
        <v>459</v>
      </c>
      <c r="Y13" s="26">
        <v>565</v>
      </c>
      <c r="Z13" s="22"/>
      <c r="AA13" s="26"/>
      <c r="AB13" s="22"/>
      <c r="AC13" s="26"/>
      <c r="AD13" s="22"/>
      <c r="AE13" s="26"/>
      <c r="AF13" s="22"/>
      <c r="AG13" s="26"/>
      <c r="AH13" s="22"/>
      <c r="AI13" s="26"/>
      <c r="AJ13" s="198"/>
      <c r="AK13" s="23"/>
      <c r="AL13" s="2"/>
      <c r="AM13" s="4"/>
      <c r="AN13" s="20"/>
      <c r="AO13" s="21"/>
      <c r="AP13" s="30"/>
      <c r="AQ13" s="31"/>
      <c r="AR13" s="32"/>
      <c r="AS13" s="33"/>
      <c r="AT13" s="22"/>
      <c r="AU13" s="26"/>
      <c r="AV13" s="45">
        <f t="shared" si="0"/>
        <v>996</v>
      </c>
      <c r="AW13" s="232">
        <f t="shared" si="1"/>
        <v>805</v>
      </c>
      <c r="AX13" s="32">
        <v>1085</v>
      </c>
      <c r="AY13" s="33"/>
      <c r="AZ13" s="63">
        <f t="shared" si="2"/>
        <v>2081</v>
      </c>
      <c r="BA13" s="64">
        <f t="shared" si="3"/>
        <v>805</v>
      </c>
    </row>
    <row r="14" spans="1:53" ht="15">
      <c r="A14" s="51" t="s">
        <v>18</v>
      </c>
      <c r="B14" s="14"/>
      <c r="C14" s="66"/>
      <c r="D14" s="22"/>
      <c r="E14" s="26"/>
      <c r="F14" s="22"/>
      <c r="G14" s="26"/>
      <c r="H14" s="22">
        <v>32056</v>
      </c>
      <c r="I14" s="26">
        <v>10738</v>
      </c>
      <c r="J14" s="22"/>
      <c r="K14" s="26"/>
      <c r="L14" s="22"/>
      <c r="M14" s="26"/>
      <c r="N14" s="22"/>
      <c r="O14" s="26"/>
      <c r="P14" s="22"/>
      <c r="Q14" s="26"/>
      <c r="R14" s="22"/>
      <c r="S14" s="26"/>
      <c r="T14" s="22"/>
      <c r="U14" s="26"/>
      <c r="V14" s="22"/>
      <c r="W14" s="26"/>
      <c r="X14" s="22">
        <v>30149</v>
      </c>
      <c r="Y14" s="26">
        <v>37250</v>
      </c>
      <c r="Z14" s="22"/>
      <c r="AA14" s="26"/>
      <c r="AB14" s="22"/>
      <c r="AC14" s="26"/>
      <c r="AD14" s="22"/>
      <c r="AE14" s="26"/>
      <c r="AF14" s="22"/>
      <c r="AG14" s="26"/>
      <c r="AH14" s="22"/>
      <c r="AI14" s="26"/>
      <c r="AJ14" s="198"/>
      <c r="AK14" s="23"/>
      <c r="AL14" s="2"/>
      <c r="AM14" s="4"/>
      <c r="AN14" s="20"/>
      <c r="AO14" s="21"/>
      <c r="AP14" s="30"/>
      <c r="AQ14" s="31"/>
      <c r="AR14" s="32"/>
      <c r="AS14" s="33"/>
      <c r="AT14" s="22"/>
      <c r="AU14" s="26"/>
      <c r="AV14" s="45">
        <f t="shared" si="0"/>
        <v>62205</v>
      </c>
      <c r="AW14" s="232">
        <f t="shared" si="1"/>
        <v>47988</v>
      </c>
      <c r="AX14" s="32"/>
      <c r="AY14" s="33"/>
      <c r="AZ14" s="63">
        <f t="shared" si="2"/>
        <v>62205</v>
      </c>
      <c r="BA14" s="64">
        <f t="shared" si="3"/>
        <v>47988</v>
      </c>
    </row>
    <row r="15" spans="1:53" ht="15.75" thickBot="1">
      <c r="A15" s="51" t="s">
        <v>19</v>
      </c>
      <c r="B15" s="1028"/>
      <c r="C15" s="1029"/>
      <c r="D15" s="1030"/>
      <c r="E15" s="1031"/>
      <c r="F15" s="1030"/>
      <c r="G15" s="1031"/>
      <c r="H15" s="1030"/>
      <c r="I15" s="1031">
        <v>15996</v>
      </c>
      <c r="J15" s="1030"/>
      <c r="K15" s="1031"/>
      <c r="L15" s="1030"/>
      <c r="M15" s="1031"/>
      <c r="N15" s="1030"/>
      <c r="O15" s="1031"/>
      <c r="P15" s="1030"/>
      <c r="Q15" s="1031">
        <v>1583</v>
      </c>
      <c r="R15" s="1030"/>
      <c r="S15" s="1031"/>
      <c r="T15" s="1030"/>
      <c r="U15" s="1031">
        <v>162</v>
      </c>
      <c r="V15" s="1030">
        <v>40884</v>
      </c>
      <c r="W15" s="1031">
        <v>39710</v>
      </c>
      <c r="X15" s="1030">
        <v>24058</v>
      </c>
      <c r="Y15" s="1031">
        <v>32663</v>
      </c>
      <c r="Z15" s="1030"/>
      <c r="AA15" s="1031"/>
      <c r="AB15" s="1030"/>
      <c r="AC15" s="1031"/>
      <c r="AD15" s="1030"/>
      <c r="AE15" s="1031"/>
      <c r="AF15" s="1030"/>
      <c r="AG15" s="1031"/>
      <c r="AH15" s="1030"/>
      <c r="AI15" s="1031">
        <v>3013</v>
      </c>
      <c r="AJ15" s="224">
        <v>3</v>
      </c>
      <c r="AK15" s="1032">
        <v>150</v>
      </c>
      <c r="AL15" s="291"/>
      <c r="AM15" s="295"/>
      <c r="AN15" s="1033"/>
      <c r="AO15" s="1034"/>
      <c r="AP15" s="1035"/>
      <c r="AQ15" s="1036"/>
      <c r="AR15" s="1037"/>
      <c r="AS15" s="1038"/>
      <c r="AT15" s="1030"/>
      <c r="AU15" s="1031">
        <v>36215</v>
      </c>
      <c r="AV15" s="1039">
        <f t="shared" si="0"/>
        <v>64945</v>
      </c>
      <c r="AW15" s="1040">
        <f t="shared" si="1"/>
        <v>129492</v>
      </c>
      <c r="AX15" s="1037"/>
      <c r="AY15" s="1038"/>
      <c r="AZ15" s="1041">
        <f t="shared" si="2"/>
        <v>64945</v>
      </c>
      <c r="BA15" s="1042">
        <f t="shared" si="3"/>
        <v>129492</v>
      </c>
    </row>
    <row r="16" spans="1:53" s="660" customFormat="1" ht="15" thickBot="1">
      <c r="A16" s="1201" t="s">
        <v>20</v>
      </c>
      <c r="B16" s="1043">
        <f aca="true" t="shared" si="4" ref="B16:AG16">SUM(B5:B15)</f>
        <v>284857</v>
      </c>
      <c r="C16" s="1043">
        <f t="shared" si="4"/>
        <v>261822</v>
      </c>
      <c r="D16" s="1043">
        <f t="shared" si="4"/>
        <v>52871</v>
      </c>
      <c r="E16" s="1043">
        <f t="shared" si="4"/>
        <v>37373</v>
      </c>
      <c r="F16" s="1043">
        <f t="shared" si="4"/>
        <v>32154</v>
      </c>
      <c r="G16" s="1043">
        <f t="shared" si="4"/>
        <v>0</v>
      </c>
      <c r="H16" s="1043">
        <f t="shared" si="4"/>
        <v>310872</v>
      </c>
      <c r="I16" s="1043">
        <f t="shared" si="4"/>
        <v>311418</v>
      </c>
      <c r="J16" s="1043">
        <f t="shared" si="4"/>
        <v>167699</v>
      </c>
      <c r="K16" s="1043">
        <f t="shared" si="4"/>
        <v>207612</v>
      </c>
      <c r="L16" s="1043">
        <f t="shared" si="4"/>
        <v>129060</v>
      </c>
      <c r="M16" s="1043">
        <f t="shared" si="4"/>
        <v>149854</v>
      </c>
      <c r="N16" s="1043">
        <f t="shared" si="4"/>
        <v>71062</v>
      </c>
      <c r="O16" s="1043">
        <f t="shared" si="4"/>
        <v>39491</v>
      </c>
      <c r="P16" s="1043">
        <f t="shared" si="4"/>
        <v>81031</v>
      </c>
      <c r="Q16" s="1043">
        <f t="shared" si="4"/>
        <v>79900</v>
      </c>
      <c r="R16" s="1043">
        <f t="shared" si="4"/>
        <v>187548</v>
      </c>
      <c r="S16" s="1043">
        <f t="shared" si="4"/>
        <v>181989</v>
      </c>
      <c r="T16" s="1043">
        <f t="shared" si="4"/>
        <v>71458</v>
      </c>
      <c r="U16" s="1043">
        <f t="shared" si="4"/>
        <v>65271</v>
      </c>
      <c r="V16" s="1043">
        <f t="shared" si="4"/>
        <v>995000</v>
      </c>
      <c r="W16" s="1043">
        <f t="shared" si="4"/>
        <v>896353</v>
      </c>
      <c r="X16" s="1043">
        <f t="shared" si="4"/>
        <v>892480</v>
      </c>
      <c r="Y16" s="1043">
        <f t="shared" si="4"/>
        <v>765207</v>
      </c>
      <c r="Z16" s="1043">
        <f t="shared" si="4"/>
        <v>101803</v>
      </c>
      <c r="AA16" s="1043">
        <f t="shared" si="4"/>
        <v>47516</v>
      </c>
      <c r="AB16" s="1043">
        <f t="shared" si="4"/>
        <v>177792</v>
      </c>
      <c r="AC16" s="1043">
        <f t="shared" si="4"/>
        <v>187896</v>
      </c>
      <c r="AD16" s="1043">
        <f t="shared" si="4"/>
        <v>345877</v>
      </c>
      <c r="AE16" s="1043">
        <f t="shared" si="4"/>
        <v>315081</v>
      </c>
      <c r="AF16" s="1043">
        <f t="shared" si="4"/>
        <v>644913</v>
      </c>
      <c r="AG16" s="1043">
        <f t="shared" si="4"/>
        <v>596524</v>
      </c>
      <c r="AH16" s="1043">
        <f aca="true" t="shared" si="5" ref="AH16:AU16">SUM(AH5:AH15)</f>
        <v>212056</v>
      </c>
      <c r="AI16" s="1043">
        <f t="shared" si="5"/>
        <v>194130</v>
      </c>
      <c r="AJ16" s="1043">
        <f t="shared" si="5"/>
        <v>225871</v>
      </c>
      <c r="AK16" s="1044">
        <f t="shared" si="5"/>
        <v>204844</v>
      </c>
      <c r="AL16" s="1043">
        <f t="shared" si="5"/>
        <v>0</v>
      </c>
      <c r="AM16" s="1046">
        <f t="shared" si="5"/>
        <v>0</v>
      </c>
      <c r="AN16" s="1045">
        <f t="shared" si="5"/>
        <v>1525439</v>
      </c>
      <c r="AO16" s="1046">
        <f t="shared" si="5"/>
        <v>1551176</v>
      </c>
      <c r="AP16" s="1043">
        <f t="shared" si="5"/>
        <v>272972</v>
      </c>
      <c r="AQ16" s="1043">
        <f t="shared" si="5"/>
        <v>271665</v>
      </c>
      <c r="AR16" s="1043">
        <f t="shared" si="5"/>
        <v>95999</v>
      </c>
      <c r="AS16" s="1043">
        <f t="shared" si="5"/>
        <v>77607</v>
      </c>
      <c r="AT16" s="1043">
        <f t="shared" si="5"/>
        <v>349677</v>
      </c>
      <c r="AU16" s="1048">
        <f t="shared" si="5"/>
        <v>477928</v>
      </c>
      <c r="AV16" s="1049">
        <f t="shared" si="0"/>
        <v>7228491</v>
      </c>
      <c r="AW16" s="1050">
        <f t="shared" si="1"/>
        <v>6920657</v>
      </c>
      <c r="AX16" s="1051">
        <f>SUM(AX5:AX15)</f>
        <v>21403905</v>
      </c>
      <c r="AY16" s="1052">
        <f>SUM(AY5:AY15)</f>
        <v>0</v>
      </c>
      <c r="AZ16" s="1053">
        <f t="shared" si="2"/>
        <v>28632396</v>
      </c>
      <c r="BA16" s="1054">
        <f t="shared" si="3"/>
        <v>6920657</v>
      </c>
    </row>
    <row r="17" spans="1:53" s="1220" customFormat="1" ht="15" thickBot="1">
      <c r="A17" s="1203" t="s">
        <v>11</v>
      </c>
      <c r="B17" s="1204"/>
      <c r="C17" s="1205"/>
      <c r="D17" s="1206">
        <v>-2</v>
      </c>
      <c r="E17" s="1207"/>
      <c r="F17" s="1206"/>
      <c r="G17" s="1207"/>
      <c r="H17" s="1206"/>
      <c r="I17" s="1207"/>
      <c r="J17" s="1206"/>
      <c r="K17" s="1207"/>
      <c r="L17" s="1206"/>
      <c r="M17" s="1207"/>
      <c r="N17" s="1206">
        <v>2152</v>
      </c>
      <c r="O17" s="1207">
        <v>348</v>
      </c>
      <c r="P17" s="1209"/>
      <c r="Q17" s="1210"/>
      <c r="R17" s="1209">
        <v>12964</v>
      </c>
      <c r="S17" s="1210">
        <v>8424</v>
      </c>
      <c r="T17" s="1209"/>
      <c r="U17" s="1210"/>
      <c r="V17" s="1209"/>
      <c r="W17" s="1210"/>
      <c r="X17" s="1209"/>
      <c r="Y17" s="1210"/>
      <c r="Z17" s="1209"/>
      <c r="AA17" s="1210"/>
      <c r="AB17" s="1206"/>
      <c r="AC17" s="1207"/>
      <c r="AD17" s="1206">
        <v>244</v>
      </c>
      <c r="AE17" s="1207">
        <v>258</v>
      </c>
      <c r="AF17" s="1206"/>
      <c r="AG17" s="1207"/>
      <c r="AH17" s="1206">
        <v>-9</v>
      </c>
      <c r="AI17" s="1207">
        <v>-3</v>
      </c>
      <c r="AJ17" s="1206"/>
      <c r="AK17" s="1211"/>
      <c r="AL17" s="1344"/>
      <c r="AM17" s="1212"/>
      <c r="AN17" s="1213"/>
      <c r="AO17" s="1214"/>
      <c r="AP17" s="1215"/>
      <c r="AQ17" s="1216"/>
      <c r="AR17" s="1217"/>
      <c r="AS17" s="1218"/>
      <c r="AT17" s="1206"/>
      <c r="AU17" s="1207"/>
      <c r="AV17" s="1209">
        <f t="shared" si="0"/>
        <v>15349</v>
      </c>
      <c r="AW17" s="1210">
        <f t="shared" si="1"/>
        <v>9027</v>
      </c>
      <c r="AX17" s="1217"/>
      <c r="AY17" s="1218"/>
      <c r="AZ17" s="1208">
        <f t="shared" si="2"/>
        <v>15349</v>
      </c>
      <c r="BA17" s="1219">
        <f t="shared" si="3"/>
        <v>9027</v>
      </c>
    </row>
    <row r="18" spans="1:53" s="660" customFormat="1" ht="15" thickBot="1">
      <c r="A18" s="1201" t="s">
        <v>12</v>
      </c>
      <c r="B18" s="1043">
        <f aca="true" t="shared" si="6" ref="B18:AG18">B16+B17</f>
        <v>284857</v>
      </c>
      <c r="C18" s="1043">
        <f t="shared" si="6"/>
        <v>261822</v>
      </c>
      <c r="D18" s="1043">
        <f t="shared" si="6"/>
        <v>52869</v>
      </c>
      <c r="E18" s="1043">
        <f t="shared" si="6"/>
        <v>37373</v>
      </c>
      <c r="F18" s="1043">
        <f t="shared" si="6"/>
        <v>32154</v>
      </c>
      <c r="G18" s="1043">
        <f t="shared" si="6"/>
        <v>0</v>
      </c>
      <c r="H18" s="1043">
        <f t="shared" si="6"/>
        <v>310872</v>
      </c>
      <c r="I18" s="1043">
        <f t="shared" si="6"/>
        <v>311418</v>
      </c>
      <c r="J18" s="1043">
        <f t="shared" si="6"/>
        <v>167699</v>
      </c>
      <c r="K18" s="1043">
        <f t="shared" si="6"/>
        <v>207612</v>
      </c>
      <c r="L18" s="1043">
        <f t="shared" si="6"/>
        <v>129060</v>
      </c>
      <c r="M18" s="1043">
        <f t="shared" si="6"/>
        <v>149854</v>
      </c>
      <c r="N18" s="1043">
        <f t="shared" si="6"/>
        <v>73214</v>
      </c>
      <c r="O18" s="1043">
        <f t="shared" si="6"/>
        <v>39839</v>
      </c>
      <c r="P18" s="1043">
        <f t="shared" si="6"/>
        <v>81031</v>
      </c>
      <c r="Q18" s="1043">
        <f t="shared" si="6"/>
        <v>79900</v>
      </c>
      <c r="R18" s="1043">
        <f t="shared" si="6"/>
        <v>200512</v>
      </c>
      <c r="S18" s="1043">
        <f t="shared" si="6"/>
        <v>190413</v>
      </c>
      <c r="T18" s="1043">
        <f t="shared" si="6"/>
        <v>71458</v>
      </c>
      <c r="U18" s="1043">
        <f t="shared" si="6"/>
        <v>65271</v>
      </c>
      <c r="V18" s="1043">
        <f t="shared" si="6"/>
        <v>995000</v>
      </c>
      <c r="W18" s="1043">
        <f t="shared" si="6"/>
        <v>896353</v>
      </c>
      <c r="X18" s="1043">
        <f t="shared" si="6"/>
        <v>892480</v>
      </c>
      <c r="Y18" s="1043">
        <f t="shared" si="6"/>
        <v>765207</v>
      </c>
      <c r="Z18" s="1043">
        <f t="shared" si="6"/>
        <v>101803</v>
      </c>
      <c r="AA18" s="1043">
        <f t="shared" si="6"/>
        <v>47516</v>
      </c>
      <c r="AB18" s="1043">
        <f t="shared" si="6"/>
        <v>177792</v>
      </c>
      <c r="AC18" s="1043">
        <f t="shared" si="6"/>
        <v>187896</v>
      </c>
      <c r="AD18" s="1043">
        <f t="shared" si="6"/>
        <v>346121</v>
      </c>
      <c r="AE18" s="1043">
        <f t="shared" si="6"/>
        <v>315339</v>
      </c>
      <c r="AF18" s="1043">
        <f t="shared" si="6"/>
        <v>644913</v>
      </c>
      <c r="AG18" s="1043">
        <f t="shared" si="6"/>
        <v>596524</v>
      </c>
      <c r="AH18" s="1043">
        <f aca="true" t="shared" si="7" ref="AH18:AU18">AH16+AH17</f>
        <v>212047</v>
      </c>
      <c r="AI18" s="1043">
        <f t="shared" si="7"/>
        <v>194127</v>
      </c>
      <c r="AJ18" s="1043">
        <f t="shared" si="7"/>
        <v>225871</v>
      </c>
      <c r="AK18" s="1044">
        <f t="shared" si="7"/>
        <v>204844</v>
      </c>
      <c r="AL18" s="1043">
        <f t="shared" si="7"/>
        <v>0</v>
      </c>
      <c r="AM18" s="1046">
        <f t="shared" si="7"/>
        <v>0</v>
      </c>
      <c r="AN18" s="1045">
        <f t="shared" si="7"/>
        <v>1525439</v>
      </c>
      <c r="AO18" s="1046">
        <f t="shared" si="7"/>
        <v>1551176</v>
      </c>
      <c r="AP18" s="1043">
        <f t="shared" si="7"/>
        <v>272972</v>
      </c>
      <c r="AQ18" s="1043">
        <f t="shared" si="7"/>
        <v>271665</v>
      </c>
      <c r="AR18" s="1043">
        <f t="shared" si="7"/>
        <v>95999</v>
      </c>
      <c r="AS18" s="1043">
        <f t="shared" si="7"/>
        <v>77607</v>
      </c>
      <c r="AT18" s="1043">
        <f t="shared" si="7"/>
        <v>349677</v>
      </c>
      <c r="AU18" s="1048">
        <f t="shared" si="7"/>
        <v>477928</v>
      </c>
      <c r="AV18" s="1049">
        <f t="shared" si="0"/>
        <v>7243840</v>
      </c>
      <c r="AW18" s="1050">
        <f t="shared" si="1"/>
        <v>6929684</v>
      </c>
      <c r="AX18" s="1053">
        <f>AX16+AX17</f>
        <v>21403905</v>
      </c>
      <c r="AY18" s="1054">
        <f>AY16+AY17</f>
        <v>0</v>
      </c>
      <c r="AZ18" s="1053">
        <f t="shared" si="2"/>
        <v>28647745</v>
      </c>
      <c r="BA18" s="1054">
        <f t="shared" si="3"/>
        <v>6929684</v>
      </c>
    </row>
  </sheetData>
  <sheetProtection/>
  <mergeCells count="29">
    <mergeCell ref="AX3:AY3"/>
    <mergeCell ref="AZ3:BA3"/>
    <mergeCell ref="AJ3:AK3"/>
    <mergeCell ref="AL3:AM3"/>
    <mergeCell ref="AN3:AO3"/>
    <mergeCell ref="AP3:AQ3"/>
    <mergeCell ref="AR3:AS3"/>
    <mergeCell ref="AT3:AU3"/>
    <mergeCell ref="AB3:AC3"/>
    <mergeCell ref="AH3:AI3"/>
    <mergeCell ref="AF3:AG3"/>
    <mergeCell ref="AD3:AE3"/>
    <mergeCell ref="AV3:AW3"/>
    <mergeCell ref="A1:AY1"/>
    <mergeCell ref="A2:AY2"/>
    <mergeCell ref="A3:A4"/>
    <mergeCell ref="L3:M3"/>
    <mergeCell ref="T3:U3"/>
    <mergeCell ref="V3:W3"/>
    <mergeCell ref="J3:K3"/>
    <mergeCell ref="N3:O3"/>
    <mergeCell ref="P3:Q3"/>
    <mergeCell ref="R3:S3"/>
    <mergeCell ref="B3:C3"/>
    <mergeCell ref="D3:E3"/>
    <mergeCell ref="F3:G3"/>
    <mergeCell ref="H3:I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K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23.25" customHeight="1"/>
  <cols>
    <col min="1" max="1" width="44.421875" style="334" bestFit="1" customWidth="1"/>
    <col min="2" max="2" width="6.57421875" style="334" customWidth="1"/>
    <col min="3" max="3" width="6.00390625" style="334" bestFit="1" customWidth="1"/>
    <col min="4" max="5" width="5.8515625" style="334" bestFit="1" customWidth="1"/>
    <col min="6" max="6" width="6.57421875" style="334" bestFit="1" customWidth="1"/>
    <col min="7" max="7" width="4.8515625" style="334" bestFit="1" customWidth="1"/>
    <col min="8" max="8" width="11.421875" style="334" bestFit="1" customWidth="1"/>
    <col min="9" max="9" width="11.140625" style="334" bestFit="1" customWidth="1"/>
    <col min="10" max="10" width="6.57421875" style="334" bestFit="1" customWidth="1"/>
    <col min="11" max="13" width="5.8515625" style="334" bestFit="1" customWidth="1"/>
    <col min="14" max="14" width="4.00390625" style="334" bestFit="1" customWidth="1"/>
    <col min="15" max="15" width="4.8515625" style="334" bestFit="1" customWidth="1"/>
    <col min="16" max="16" width="6.421875" style="334" bestFit="1" customWidth="1"/>
    <col min="17" max="17" width="9.421875" style="334" bestFit="1" customWidth="1"/>
    <col min="18" max="18" width="6.57421875" style="334" bestFit="1" customWidth="1"/>
    <col min="19" max="20" width="5.8515625" style="334" bestFit="1" customWidth="1"/>
    <col min="21" max="21" width="5.8515625" style="334" customWidth="1"/>
    <col min="22" max="22" width="4.00390625" style="334" bestFit="1" customWidth="1"/>
    <col min="23" max="23" width="4.8515625" style="334" bestFit="1" customWidth="1"/>
    <col min="24" max="24" width="6.421875" style="334" bestFit="1" customWidth="1"/>
    <col min="25" max="25" width="11.140625" style="334" bestFit="1" customWidth="1"/>
    <col min="26" max="26" width="8.140625" style="334" bestFit="1" customWidth="1"/>
    <col min="27" max="27" width="7.00390625" style="334" bestFit="1" customWidth="1"/>
    <col min="28" max="28" width="5.8515625" style="334" bestFit="1" customWidth="1"/>
    <col min="29" max="29" width="4.8515625" style="334" bestFit="1" customWidth="1"/>
    <col min="30" max="31" width="4.00390625" style="334" bestFit="1" customWidth="1"/>
    <col min="32" max="32" width="7.00390625" style="334" bestFit="1" customWidth="1"/>
    <col min="33" max="33" width="9.421875" style="334" bestFit="1" customWidth="1"/>
    <col min="34" max="34" width="8.421875" style="334" bestFit="1" customWidth="1"/>
    <col min="35" max="37" width="5.8515625" style="334" bestFit="1" customWidth="1"/>
    <col min="38" max="38" width="6.57421875" style="334" bestFit="1" customWidth="1"/>
    <col min="39" max="39" width="4.8515625" style="334" bestFit="1" customWidth="1"/>
    <col min="40" max="40" width="9.00390625" style="334" bestFit="1" customWidth="1"/>
    <col min="41" max="41" width="9.421875" style="334" bestFit="1" customWidth="1"/>
    <col min="42" max="42" width="7.140625" style="334" bestFit="1" customWidth="1"/>
    <col min="43" max="45" width="5.8515625" style="334" bestFit="1" customWidth="1"/>
    <col min="46" max="46" width="4.00390625" style="334" bestFit="1" customWidth="1"/>
    <col min="47" max="47" width="4.8515625" style="334" bestFit="1" customWidth="1"/>
    <col min="48" max="48" width="6.421875" style="334" bestFit="1" customWidth="1"/>
    <col min="49" max="49" width="9.421875" style="334" bestFit="1" customWidth="1"/>
    <col min="50" max="50" width="6.57421875" style="334" bestFit="1" customWidth="1"/>
    <col min="51" max="51" width="5.8515625" style="334" bestFit="1" customWidth="1"/>
    <col min="52" max="52" width="6.00390625" style="334" bestFit="1" customWidth="1"/>
    <col min="53" max="53" width="5.8515625" style="334" bestFit="1" customWidth="1"/>
    <col min="54" max="55" width="4.00390625" style="334" bestFit="1" customWidth="1"/>
    <col min="56" max="56" width="6.421875" style="334" bestFit="1" customWidth="1"/>
    <col min="57" max="57" width="9.421875" style="334" bestFit="1" customWidth="1"/>
    <col min="58" max="58" width="6.57421875" style="334" bestFit="1" customWidth="1"/>
    <col min="59" max="59" width="5.8515625" style="334" customWidth="1"/>
    <col min="60" max="60" width="5.8515625" style="334" bestFit="1" customWidth="1"/>
    <col min="61" max="61" width="4.8515625" style="334" bestFit="1" customWidth="1"/>
    <col min="62" max="62" width="5.00390625" style="334" bestFit="1" customWidth="1"/>
    <col min="63" max="63" width="4.8515625" style="334" customWidth="1"/>
    <col min="64" max="64" width="6.421875" style="334" bestFit="1" customWidth="1"/>
    <col min="65" max="65" width="9.421875" style="334" bestFit="1" customWidth="1"/>
    <col min="66" max="66" width="8.421875" style="334" bestFit="1" customWidth="1"/>
    <col min="67" max="67" width="7.421875" style="334" bestFit="1" customWidth="1"/>
    <col min="68" max="68" width="6.421875" style="334" bestFit="1" customWidth="1"/>
    <col min="69" max="69" width="5.8515625" style="334" bestFit="1" customWidth="1"/>
    <col min="70" max="70" width="5.140625" style="334" customWidth="1"/>
    <col min="71" max="71" width="4.8515625" style="334" bestFit="1" customWidth="1"/>
    <col min="72" max="72" width="9.00390625" style="334" bestFit="1" customWidth="1"/>
    <col min="73" max="73" width="9.421875" style="334" bestFit="1" customWidth="1"/>
    <col min="74" max="74" width="6.57421875" style="334" bestFit="1" customWidth="1"/>
    <col min="75" max="75" width="5.00390625" style="334" bestFit="1" customWidth="1"/>
    <col min="76" max="77" width="4.8515625" style="334" bestFit="1" customWidth="1"/>
    <col min="78" max="79" width="4.00390625" style="334" bestFit="1" customWidth="1"/>
    <col min="80" max="80" width="6.421875" style="334" bestFit="1" customWidth="1"/>
    <col min="81" max="81" width="9.421875" style="1128" bestFit="1" customWidth="1"/>
    <col min="82" max="82" width="6.7109375" style="334" customWidth="1"/>
    <col min="83" max="83" width="6.00390625" style="334" bestFit="1" customWidth="1"/>
    <col min="84" max="85" width="5.8515625" style="334" bestFit="1" customWidth="1"/>
    <col min="86" max="86" width="5.00390625" style="334" bestFit="1" customWidth="1"/>
    <col min="87" max="87" width="4.8515625" style="334" bestFit="1" customWidth="1"/>
    <col min="88" max="88" width="7.00390625" style="334" bestFit="1" customWidth="1"/>
    <col min="89" max="89" width="9.421875" style="334" bestFit="1" customWidth="1"/>
    <col min="90" max="90" width="8.140625" style="334" bestFit="1" customWidth="1"/>
    <col min="91" max="91" width="7.57421875" style="334" bestFit="1" customWidth="1"/>
    <col min="92" max="93" width="9.57421875" style="334" bestFit="1" customWidth="1"/>
    <col min="94" max="94" width="6.57421875" style="334" bestFit="1" customWidth="1"/>
    <col min="95" max="95" width="8.28125" style="334" bestFit="1" customWidth="1"/>
    <col min="96" max="96" width="11.421875" style="334" bestFit="1" customWidth="1"/>
    <col min="97" max="97" width="11.140625" style="334" bestFit="1" customWidth="1"/>
    <col min="98" max="98" width="8.140625" style="334" bestFit="1" customWidth="1"/>
    <col min="99" max="99" width="7.57421875" style="334" bestFit="1" customWidth="1"/>
    <col min="100" max="101" width="5.8515625" style="334" bestFit="1" customWidth="1"/>
    <col min="102" max="102" width="6.57421875" style="334" bestFit="1" customWidth="1"/>
    <col min="103" max="103" width="4.8515625" style="334" bestFit="1" customWidth="1"/>
    <col min="104" max="104" width="9.00390625" style="334" bestFit="1" customWidth="1"/>
    <col min="105" max="105" width="9.421875" style="334" bestFit="1" customWidth="1"/>
    <col min="106" max="106" width="8.140625" style="334" bestFit="1" customWidth="1"/>
    <col min="107" max="107" width="7.57421875" style="334" bestFit="1" customWidth="1"/>
    <col min="108" max="109" width="5.8515625" style="334" bestFit="1" customWidth="1"/>
    <col min="110" max="110" width="6.57421875" style="334" bestFit="1" customWidth="1"/>
    <col min="111" max="111" width="4.8515625" style="334" bestFit="1" customWidth="1"/>
    <col min="112" max="112" width="9.00390625" style="334" bestFit="1" customWidth="1"/>
    <col min="113" max="113" width="9.421875" style="334" bestFit="1" customWidth="1"/>
    <col min="114" max="114" width="6.57421875" style="334" bestFit="1" customWidth="1"/>
    <col min="115" max="115" width="6.00390625" style="334" bestFit="1" customWidth="1"/>
    <col min="116" max="116" width="4.8515625" style="334" bestFit="1" customWidth="1"/>
    <col min="117" max="117" width="5.8515625" style="334" bestFit="1" customWidth="1"/>
    <col min="118" max="118" width="4.00390625" style="334" bestFit="1" customWidth="1"/>
    <col min="119" max="119" width="4.8515625" style="334" bestFit="1" customWidth="1"/>
    <col min="120" max="120" width="6.421875" style="334" bestFit="1" customWidth="1"/>
    <col min="121" max="121" width="9.421875" style="334" bestFit="1" customWidth="1"/>
    <col min="122" max="122" width="6.57421875" style="334" bestFit="1" customWidth="1"/>
    <col min="123" max="123" width="6.00390625" style="334" customWidth="1"/>
    <col min="124" max="125" width="5.8515625" style="334" bestFit="1" customWidth="1"/>
    <col min="126" max="126" width="4.00390625" style="334" bestFit="1" customWidth="1"/>
    <col min="127" max="127" width="4.8515625" style="334" bestFit="1" customWidth="1"/>
    <col min="128" max="128" width="6.421875" style="334" bestFit="1" customWidth="1"/>
    <col min="129" max="129" width="9.421875" style="334" bestFit="1" customWidth="1"/>
    <col min="130" max="130" width="7.140625" style="334" customWidth="1"/>
    <col min="131" max="131" width="6.00390625" style="334" bestFit="1" customWidth="1"/>
    <col min="132" max="133" width="5.8515625" style="334" bestFit="1" customWidth="1"/>
    <col min="134" max="134" width="4.00390625" style="334" bestFit="1" customWidth="1"/>
    <col min="135" max="135" width="4.8515625" style="334" bestFit="1" customWidth="1"/>
    <col min="136" max="136" width="9.00390625" style="334" bestFit="1" customWidth="1"/>
    <col min="137" max="137" width="9.421875" style="334" bestFit="1" customWidth="1"/>
    <col min="138" max="138" width="6.57421875" style="334" bestFit="1" customWidth="1"/>
    <col min="139" max="139" width="5.00390625" style="334" bestFit="1" customWidth="1"/>
    <col min="140" max="140" width="5.8515625" style="334" bestFit="1" customWidth="1"/>
    <col min="141" max="141" width="5.8515625" style="334" customWidth="1"/>
    <col min="142" max="142" width="4.00390625" style="334" bestFit="1" customWidth="1"/>
    <col min="143" max="143" width="4.8515625" style="334" bestFit="1" customWidth="1"/>
    <col min="144" max="144" width="6.421875" style="334" bestFit="1" customWidth="1"/>
    <col min="145" max="145" width="9.421875" style="334" bestFit="1" customWidth="1"/>
    <col min="146" max="146" width="8.140625" style="334" bestFit="1" customWidth="1"/>
    <col min="147" max="147" width="7.57421875" style="334" bestFit="1" customWidth="1"/>
    <col min="148" max="149" width="5.8515625" style="334" bestFit="1" customWidth="1"/>
    <col min="150" max="150" width="6.57421875" style="334" bestFit="1" customWidth="1"/>
    <col min="151" max="151" width="8.28125" style="334" bestFit="1" customWidth="1"/>
    <col min="152" max="152" width="9.00390625" style="334" bestFit="1" customWidth="1"/>
    <col min="153" max="153" width="9.421875" style="334" bestFit="1" customWidth="1"/>
    <col min="154" max="154" width="6.7109375" style="334" bestFit="1" customWidth="1"/>
    <col min="155" max="155" width="6.8515625" style="334" bestFit="1" customWidth="1"/>
    <col min="156" max="157" width="5.8515625" style="334" bestFit="1" customWidth="1"/>
    <col min="158" max="158" width="6.57421875" style="334" bestFit="1" customWidth="1"/>
    <col min="159" max="159" width="5.00390625" style="334" bestFit="1" customWidth="1"/>
    <col min="160" max="160" width="9.00390625" style="334" bestFit="1" customWidth="1"/>
    <col min="161" max="161" width="9.421875" style="334" bestFit="1" customWidth="1"/>
    <col min="162" max="162" width="6.57421875" style="334" bestFit="1" customWidth="1"/>
    <col min="163" max="164" width="5.8515625" style="334" bestFit="1" customWidth="1"/>
    <col min="165" max="165" width="4.8515625" style="334" bestFit="1" customWidth="1"/>
    <col min="166" max="166" width="4.00390625" style="334" bestFit="1" customWidth="1"/>
    <col min="167" max="167" width="5.00390625" style="334" bestFit="1" customWidth="1"/>
    <col min="168" max="168" width="6.421875" style="334" bestFit="1" customWidth="1"/>
    <col min="169" max="169" width="9.421875" style="334" bestFit="1" customWidth="1"/>
    <col min="170" max="170" width="6.57421875" style="334" bestFit="1" customWidth="1"/>
    <col min="171" max="173" width="5.8515625" style="334" bestFit="1" customWidth="1"/>
    <col min="174" max="174" width="6.57421875" style="334" customWidth="1"/>
    <col min="175" max="175" width="4.8515625" style="334" bestFit="1" customWidth="1"/>
    <col min="176" max="176" width="9.00390625" style="334" bestFit="1" customWidth="1"/>
    <col min="177" max="177" width="9.421875" style="334" bestFit="1" customWidth="1"/>
    <col min="178" max="178" width="7.00390625" style="334" bestFit="1" customWidth="1"/>
    <col min="179" max="179" width="6.00390625" style="334" bestFit="1" customWidth="1"/>
    <col min="180" max="180" width="3.7109375" style="334" bestFit="1" customWidth="1"/>
    <col min="181" max="181" width="4.8515625" style="334" customWidth="1"/>
    <col min="182" max="182" width="4.00390625" style="334" bestFit="1" customWidth="1"/>
    <col min="183" max="183" width="4.8515625" style="334" bestFit="1" customWidth="1"/>
    <col min="184" max="184" width="9.00390625" style="334" bestFit="1" customWidth="1"/>
    <col min="185" max="185" width="9.421875" style="334" bestFit="1" customWidth="1"/>
    <col min="186" max="186" width="8.140625" style="334" bestFit="1" customWidth="1"/>
    <col min="187" max="187" width="7.57421875" style="334" bestFit="1" customWidth="1"/>
    <col min="188" max="189" width="9.57421875" style="334" customWidth="1"/>
    <col min="190" max="190" width="6.57421875" style="334" bestFit="1" customWidth="1"/>
    <col min="191" max="191" width="8.28125" style="334" bestFit="1" customWidth="1"/>
    <col min="192" max="192" width="9.00390625" style="334" bestFit="1" customWidth="1"/>
    <col min="193" max="193" width="9.421875" style="334" bestFit="1" customWidth="1"/>
    <col min="194" max="16384" width="9.140625" style="334" customWidth="1"/>
  </cols>
  <sheetData>
    <row r="1" spans="1:193" s="478" customFormat="1" ht="23.25" customHeight="1">
      <c r="A1" s="477" t="s">
        <v>319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1124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5"/>
      <c r="DS1" s="475"/>
      <c r="DT1" s="475"/>
      <c r="DU1" s="475"/>
      <c r="DV1" s="475"/>
      <c r="DW1" s="475"/>
      <c r="DX1" s="475"/>
      <c r="DY1" s="475"/>
      <c r="DZ1" s="475"/>
      <c r="EA1" s="475"/>
      <c r="EB1" s="475"/>
      <c r="EC1" s="475"/>
      <c r="ED1" s="475"/>
      <c r="EE1" s="475"/>
      <c r="EF1" s="475"/>
      <c r="EG1" s="475"/>
      <c r="EH1" s="475"/>
      <c r="EI1" s="475"/>
      <c r="EJ1" s="475"/>
      <c r="EK1" s="475"/>
      <c r="EL1" s="475"/>
      <c r="EM1" s="475"/>
      <c r="EN1" s="475"/>
      <c r="EO1" s="475"/>
      <c r="EP1" s="475"/>
      <c r="EQ1" s="475"/>
      <c r="ER1" s="475"/>
      <c r="ES1" s="475"/>
      <c r="ET1" s="475"/>
      <c r="EU1" s="475"/>
      <c r="EV1" s="475"/>
      <c r="EW1" s="475"/>
      <c r="EX1" s="475"/>
      <c r="EY1" s="475"/>
      <c r="EZ1" s="475"/>
      <c r="FA1" s="475"/>
      <c r="FB1" s="475"/>
      <c r="FC1" s="475"/>
      <c r="FD1" s="475"/>
      <c r="FE1" s="475"/>
      <c r="FF1" s="475"/>
      <c r="FG1" s="475"/>
      <c r="FH1" s="475"/>
      <c r="FI1" s="475"/>
      <c r="FJ1" s="475"/>
      <c r="FK1" s="475"/>
      <c r="FL1" s="475"/>
      <c r="FM1" s="475"/>
      <c r="FN1" s="475"/>
      <c r="FO1" s="475"/>
      <c r="FP1" s="475"/>
      <c r="FQ1" s="475"/>
      <c r="FR1" s="475"/>
      <c r="FS1" s="475"/>
      <c r="FT1" s="475"/>
      <c r="FU1" s="475"/>
      <c r="FV1" s="475"/>
      <c r="FW1" s="475"/>
      <c r="FX1" s="475"/>
      <c r="FY1" s="475"/>
      <c r="FZ1" s="475"/>
      <c r="GA1" s="475"/>
      <c r="GB1" s="475"/>
      <c r="GC1" s="475"/>
      <c r="GD1" s="475"/>
      <c r="GE1" s="475"/>
      <c r="GF1" s="475"/>
      <c r="GG1" s="475"/>
      <c r="GH1" s="475"/>
      <c r="GI1" s="475"/>
      <c r="GJ1" s="475"/>
      <c r="GK1" s="475"/>
    </row>
    <row r="2" spans="1:193" ht="23.25" customHeight="1" thickBo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1125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</row>
    <row r="3" spans="1:193" ht="23.25" customHeight="1" thickBot="1">
      <c r="A3" s="1861" t="s">
        <v>0</v>
      </c>
      <c r="B3" s="1863" t="s">
        <v>285</v>
      </c>
      <c r="C3" s="1864"/>
      <c r="D3" s="1864"/>
      <c r="E3" s="1864"/>
      <c r="F3" s="1864"/>
      <c r="G3" s="1864"/>
      <c r="H3" s="1864"/>
      <c r="I3" s="1865"/>
      <c r="J3" s="1866" t="s">
        <v>286</v>
      </c>
      <c r="K3" s="1867"/>
      <c r="L3" s="1867"/>
      <c r="M3" s="1867"/>
      <c r="N3" s="1867"/>
      <c r="O3" s="1867"/>
      <c r="P3" s="1867"/>
      <c r="Q3" s="1868"/>
      <c r="R3" s="1866" t="s">
        <v>287</v>
      </c>
      <c r="S3" s="1867"/>
      <c r="T3" s="1867"/>
      <c r="U3" s="1867"/>
      <c r="V3" s="1867"/>
      <c r="W3" s="1867"/>
      <c r="X3" s="1867"/>
      <c r="Y3" s="1868"/>
      <c r="Z3" s="1867" t="s">
        <v>526</v>
      </c>
      <c r="AA3" s="1867"/>
      <c r="AB3" s="1867"/>
      <c r="AC3" s="1867"/>
      <c r="AD3" s="1867"/>
      <c r="AE3" s="1867"/>
      <c r="AF3" s="1867"/>
      <c r="AG3" s="1867"/>
      <c r="AH3" s="1866" t="s">
        <v>288</v>
      </c>
      <c r="AI3" s="1867"/>
      <c r="AJ3" s="1867"/>
      <c r="AK3" s="1867"/>
      <c r="AL3" s="1867"/>
      <c r="AM3" s="1867"/>
      <c r="AN3" s="1867"/>
      <c r="AO3" s="1868"/>
      <c r="AP3" s="1866" t="s">
        <v>289</v>
      </c>
      <c r="AQ3" s="1867"/>
      <c r="AR3" s="1867"/>
      <c r="AS3" s="1867"/>
      <c r="AT3" s="1867"/>
      <c r="AU3" s="1867"/>
      <c r="AV3" s="1867"/>
      <c r="AW3" s="1868"/>
      <c r="AX3" s="1866" t="s">
        <v>531</v>
      </c>
      <c r="AY3" s="1867"/>
      <c r="AZ3" s="1867"/>
      <c r="BA3" s="1867"/>
      <c r="BB3" s="1867"/>
      <c r="BC3" s="1867"/>
      <c r="BD3" s="1867"/>
      <c r="BE3" s="1868"/>
      <c r="BF3" s="1866" t="s">
        <v>290</v>
      </c>
      <c r="BG3" s="1867"/>
      <c r="BH3" s="1867"/>
      <c r="BI3" s="1867"/>
      <c r="BJ3" s="1867"/>
      <c r="BK3" s="1867"/>
      <c r="BL3" s="1867"/>
      <c r="BM3" s="1867"/>
      <c r="BN3" s="1866" t="s">
        <v>280</v>
      </c>
      <c r="BO3" s="1867"/>
      <c r="BP3" s="1867"/>
      <c r="BQ3" s="1867"/>
      <c r="BR3" s="1867"/>
      <c r="BS3" s="1867"/>
      <c r="BT3" s="1867"/>
      <c r="BU3" s="1867"/>
      <c r="BV3" s="1866" t="s">
        <v>281</v>
      </c>
      <c r="BW3" s="1867"/>
      <c r="BX3" s="1867"/>
      <c r="BY3" s="1867"/>
      <c r="BZ3" s="1867"/>
      <c r="CA3" s="1867"/>
      <c r="CB3" s="1867"/>
      <c r="CC3" s="1867"/>
      <c r="CD3" s="1866" t="s">
        <v>291</v>
      </c>
      <c r="CE3" s="1867"/>
      <c r="CF3" s="1867"/>
      <c r="CG3" s="1867"/>
      <c r="CH3" s="1867"/>
      <c r="CI3" s="1867"/>
      <c r="CJ3" s="1867"/>
      <c r="CK3" s="1868"/>
      <c r="CL3" s="1866" t="s">
        <v>601</v>
      </c>
      <c r="CM3" s="1867"/>
      <c r="CN3" s="1867"/>
      <c r="CO3" s="1867"/>
      <c r="CP3" s="1867"/>
      <c r="CQ3" s="1867"/>
      <c r="CR3" s="1867"/>
      <c r="CS3" s="1868"/>
      <c r="CT3" s="1867" t="s">
        <v>282</v>
      </c>
      <c r="CU3" s="1867"/>
      <c r="CV3" s="1867"/>
      <c r="CW3" s="1867"/>
      <c r="CX3" s="1867"/>
      <c r="CY3" s="1867"/>
      <c r="CZ3" s="1867"/>
      <c r="DA3" s="1868"/>
      <c r="DB3" s="1867" t="s">
        <v>283</v>
      </c>
      <c r="DC3" s="1867"/>
      <c r="DD3" s="1867"/>
      <c r="DE3" s="1867"/>
      <c r="DF3" s="1867"/>
      <c r="DG3" s="1867"/>
      <c r="DH3" s="1867"/>
      <c r="DI3" s="1868"/>
      <c r="DJ3" s="1869" t="s">
        <v>607</v>
      </c>
      <c r="DK3" s="1869"/>
      <c r="DL3" s="1869"/>
      <c r="DM3" s="1869"/>
      <c r="DN3" s="1869"/>
      <c r="DO3" s="1869"/>
      <c r="DP3" s="1869"/>
      <c r="DQ3" s="1870"/>
      <c r="DR3" s="1867" t="s">
        <v>292</v>
      </c>
      <c r="DS3" s="1867"/>
      <c r="DT3" s="1867"/>
      <c r="DU3" s="1867"/>
      <c r="DV3" s="1867"/>
      <c r="DW3" s="1867"/>
      <c r="DX3" s="1867"/>
      <c r="DY3" s="1868"/>
      <c r="DZ3" s="1867" t="s">
        <v>293</v>
      </c>
      <c r="EA3" s="1867"/>
      <c r="EB3" s="1867"/>
      <c r="EC3" s="1867"/>
      <c r="ED3" s="1867"/>
      <c r="EE3" s="1867"/>
      <c r="EF3" s="1867"/>
      <c r="EG3" s="1868"/>
      <c r="EH3" s="1866" t="s">
        <v>294</v>
      </c>
      <c r="EI3" s="1867"/>
      <c r="EJ3" s="1867"/>
      <c r="EK3" s="1867"/>
      <c r="EL3" s="1867"/>
      <c r="EM3" s="1867"/>
      <c r="EN3" s="1867"/>
      <c r="EO3" s="1868"/>
      <c r="EP3" s="1871" t="s">
        <v>295</v>
      </c>
      <c r="EQ3" s="1869"/>
      <c r="ER3" s="1869"/>
      <c r="ES3" s="1869"/>
      <c r="ET3" s="1869"/>
      <c r="EU3" s="1869"/>
      <c r="EV3" s="1869"/>
      <c r="EW3" s="1870"/>
      <c r="EX3" s="1872" t="s">
        <v>296</v>
      </c>
      <c r="EY3" s="1873"/>
      <c r="EZ3" s="1873"/>
      <c r="FA3" s="1873"/>
      <c r="FB3" s="1873"/>
      <c r="FC3" s="1873"/>
      <c r="FD3" s="1873"/>
      <c r="FE3" s="1874"/>
      <c r="FF3" s="1866" t="s">
        <v>297</v>
      </c>
      <c r="FG3" s="1867"/>
      <c r="FH3" s="1867"/>
      <c r="FI3" s="1867"/>
      <c r="FJ3" s="1867"/>
      <c r="FK3" s="1867"/>
      <c r="FL3" s="1867"/>
      <c r="FM3" s="1868"/>
      <c r="FN3" s="1866" t="s">
        <v>284</v>
      </c>
      <c r="FO3" s="1867"/>
      <c r="FP3" s="1867"/>
      <c r="FQ3" s="1867"/>
      <c r="FR3" s="1867"/>
      <c r="FS3" s="1867"/>
      <c r="FT3" s="1867"/>
      <c r="FU3" s="1868"/>
      <c r="FV3" s="1866" t="s">
        <v>533</v>
      </c>
      <c r="FW3" s="1867"/>
      <c r="FX3" s="1867"/>
      <c r="FY3" s="1867"/>
      <c r="FZ3" s="1867"/>
      <c r="GA3" s="1867"/>
      <c r="GB3" s="1867"/>
      <c r="GC3" s="1868"/>
      <c r="GD3" s="1871" t="s">
        <v>298</v>
      </c>
      <c r="GE3" s="1869"/>
      <c r="GF3" s="1869"/>
      <c r="GG3" s="1869"/>
      <c r="GH3" s="1869"/>
      <c r="GI3" s="1869"/>
      <c r="GJ3" s="1869"/>
      <c r="GK3" s="1870"/>
    </row>
    <row r="4" spans="1:193" s="911" customFormat="1" ht="56.25" customHeight="1" thickBot="1">
      <c r="A4" s="1862"/>
      <c r="B4" s="907" t="s">
        <v>218</v>
      </c>
      <c r="C4" s="1615" t="s">
        <v>219</v>
      </c>
      <c r="D4" s="1615" t="s">
        <v>220</v>
      </c>
      <c r="E4" s="1615" t="s">
        <v>221</v>
      </c>
      <c r="F4" s="1615" t="s">
        <v>222</v>
      </c>
      <c r="G4" s="1616" t="s">
        <v>223</v>
      </c>
      <c r="H4" s="1626" t="s">
        <v>224</v>
      </c>
      <c r="I4" s="1611" t="s">
        <v>225</v>
      </c>
      <c r="J4" s="907" t="s">
        <v>218</v>
      </c>
      <c r="K4" s="1615" t="s">
        <v>219</v>
      </c>
      <c r="L4" s="1615" t="s">
        <v>220</v>
      </c>
      <c r="M4" s="1615" t="s">
        <v>221</v>
      </c>
      <c r="N4" s="1615" t="s">
        <v>222</v>
      </c>
      <c r="O4" s="1616" t="s">
        <v>223</v>
      </c>
      <c r="P4" s="909" t="s">
        <v>224</v>
      </c>
      <c r="Q4" s="908" t="s">
        <v>225</v>
      </c>
      <c r="R4" s="907" t="s">
        <v>218</v>
      </c>
      <c r="S4" s="1615" t="s">
        <v>219</v>
      </c>
      <c r="T4" s="1615" t="s">
        <v>220</v>
      </c>
      <c r="U4" s="1615" t="s">
        <v>221</v>
      </c>
      <c r="V4" s="1615" t="s">
        <v>222</v>
      </c>
      <c r="W4" s="1616" t="s">
        <v>223</v>
      </c>
      <c r="X4" s="909" t="s">
        <v>224</v>
      </c>
      <c r="Y4" s="908" t="s">
        <v>225</v>
      </c>
      <c r="Z4" s="907" t="s">
        <v>218</v>
      </c>
      <c r="AA4" s="1615" t="s">
        <v>219</v>
      </c>
      <c r="AB4" s="1615" t="s">
        <v>220</v>
      </c>
      <c r="AC4" s="1615" t="s">
        <v>221</v>
      </c>
      <c r="AD4" s="1615" t="s">
        <v>222</v>
      </c>
      <c r="AE4" s="1616" t="s">
        <v>223</v>
      </c>
      <c r="AF4" s="909" t="s">
        <v>224</v>
      </c>
      <c r="AG4" s="1611" t="s">
        <v>225</v>
      </c>
      <c r="AH4" s="907" t="s">
        <v>218</v>
      </c>
      <c r="AI4" s="1615" t="s">
        <v>219</v>
      </c>
      <c r="AJ4" s="1615" t="s">
        <v>220</v>
      </c>
      <c r="AK4" s="1615" t="s">
        <v>221</v>
      </c>
      <c r="AL4" s="1615" t="s">
        <v>222</v>
      </c>
      <c r="AM4" s="1616" t="s">
        <v>223</v>
      </c>
      <c r="AN4" s="909" t="s">
        <v>224</v>
      </c>
      <c r="AO4" s="908" t="s">
        <v>225</v>
      </c>
      <c r="AP4" s="907" t="s">
        <v>218</v>
      </c>
      <c r="AQ4" s="1615" t="s">
        <v>219</v>
      </c>
      <c r="AR4" s="1615" t="s">
        <v>220</v>
      </c>
      <c r="AS4" s="1615" t="s">
        <v>221</v>
      </c>
      <c r="AT4" s="1615" t="s">
        <v>222</v>
      </c>
      <c r="AU4" s="1616" t="s">
        <v>223</v>
      </c>
      <c r="AV4" s="909" t="s">
        <v>224</v>
      </c>
      <c r="AW4" s="908" t="s">
        <v>225</v>
      </c>
      <c r="AX4" s="907" t="s">
        <v>218</v>
      </c>
      <c r="AY4" s="1615" t="s">
        <v>219</v>
      </c>
      <c r="AZ4" s="1615" t="s">
        <v>220</v>
      </c>
      <c r="BA4" s="1615" t="s">
        <v>221</v>
      </c>
      <c r="BB4" s="1615" t="s">
        <v>222</v>
      </c>
      <c r="BC4" s="1616" t="s">
        <v>223</v>
      </c>
      <c r="BD4" s="909" t="s">
        <v>224</v>
      </c>
      <c r="BE4" s="908" t="s">
        <v>225</v>
      </c>
      <c r="BF4" s="907" t="s">
        <v>218</v>
      </c>
      <c r="BG4" s="1615" t="s">
        <v>219</v>
      </c>
      <c r="BH4" s="1615" t="s">
        <v>220</v>
      </c>
      <c r="BI4" s="1615" t="s">
        <v>221</v>
      </c>
      <c r="BJ4" s="1615" t="s">
        <v>226</v>
      </c>
      <c r="BK4" s="1616" t="s">
        <v>227</v>
      </c>
      <c r="BL4" s="909" t="s">
        <v>224</v>
      </c>
      <c r="BM4" s="908" t="s">
        <v>225</v>
      </c>
      <c r="BN4" s="907" t="s">
        <v>218</v>
      </c>
      <c r="BO4" s="1615" t="s">
        <v>219</v>
      </c>
      <c r="BP4" s="1615" t="s">
        <v>220</v>
      </c>
      <c r="BQ4" s="1615" t="s">
        <v>221</v>
      </c>
      <c r="BR4" s="1615" t="s">
        <v>222</v>
      </c>
      <c r="BS4" s="1616" t="s">
        <v>223</v>
      </c>
      <c r="BT4" s="909" t="s">
        <v>224</v>
      </c>
      <c r="BU4" s="908" t="s">
        <v>225</v>
      </c>
      <c r="BV4" s="907" t="s">
        <v>218</v>
      </c>
      <c r="BW4" s="1615" t="s">
        <v>219</v>
      </c>
      <c r="BX4" s="1615" t="s">
        <v>220</v>
      </c>
      <c r="BY4" s="1615" t="s">
        <v>221</v>
      </c>
      <c r="BZ4" s="1615" t="s">
        <v>222</v>
      </c>
      <c r="CA4" s="1616" t="s">
        <v>223</v>
      </c>
      <c r="CB4" s="909" t="s">
        <v>224</v>
      </c>
      <c r="CC4" s="1126" t="s">
        <v>225</v>
      </c>
      <c r="CD4" s="907" t="s">
        <v>218</v>
      </c>
      <c r="CE4" s="1615" t="s">
        <v>219</v>
      </c>
      <c r="CF4" s="1615" t="s">
        <v>220</v>
      </c>
      <c r="CG4" s="1615" t="s">
        <v>221</v>
      </c>
      <c r="CH4" s="1615" t="s">
        <v>222</v>
      </c>
      <c r="CI4" s="1616" t="s">
        <v>223</v>
      </c>
      <c r="CJ4" s="909" t="s">
        <v>224</v>
      </c>
      <c r="CK4" s="908" t="s">
        <v>225</v>
      </c>
      <c r="CL4" s="907" t="s">
        <v>218</v>
      </c>
      <c r="CM4" s="1615" t="s">
        <v>219</v>
      </c>
      <c r="CN4" s="1615" t="s">
        <v>220</v>
      </c>
      <c r="CO4" s="1615" t="s">
        <v>221</v>
      </c>
      <c r="CP4" s="1615" t="s">
        <v>222</v>
      </c>
      <c r="CQ4" s="1616" t="s">
        <v>223</v>
      </c>
      <c r="CR4" s="909" t="s">
        <v>224</v>
      </c>
      <c r="CS4" s="908" t="s">
        <v>225</v>
      </c>
      <c r="CT4" s="907" t="s">
        <v>218</v>
      </c>
      <c r="CU4" s="1615" t="s">
        <v>219</v>
      </c>
      <c r="CV4" s="1615" t="s">
        <v>220</v>
      </c>
      <c r="CW4" s="1615" t="s">
        <v>221</v>
      </c>
      <c r="CX4" s="1615" t="s">
        <v>222</v>
      </c>
      <c r="CY4" s="1615" t="s">
        <v>223</v>
      </c>
      <c r="CZ4" s="1616" t="s">
        <v>224</v>
      </c>
      <c r="DA4" s="908" t="s">
        <v>225</v>
      </c>
      <c r="DB4" s="907" t="s">
        <v>218</v>
      </c>
      <c r="DC4" s="1615" t="s">
        <v>219</v>
      </c>
      <c r="DD4" s="1615" t="s">
        <v>220</v>
      </c>
      <c r="DE4" s="1615" t="s">
        <v>221</v>
      </c>
      <c r="DF4" s="1615" t="s">
        <v>222</v>
      </c>
      <c r="DG4" s="1616" t="s">
        <v>223</v>
      </c>
      <c r="DH4" s="909" t="s">
        <v>224</v>
      </c>
      <c r="DI4" s="1611" t="s">
        <v>225</v>
      </c>
      <c r="DJ4" s="907" t="s">
        <v>218</v>
      </c>
      <c r="DK4" s="1615" t="s">
        <v>219</v>
      </c>
      <c r="DL4" s="1615" t="s">
        <v>220</v>
      </c>
      <c r="DM4" s="1615" t="s">
        <v>221</v>
      </c>
      <c r="DN4" s="1615" t="s">
        <v>222</v>
      </c>
      <c r="DO4" s="1616" t="s">
        <v>223</v>
      </c>
      <c r="DP4" s="909" t="s">
        <v>224</v>
      </c>
      <c r="DQ4" s="1611" t="s">
        <v>225</v>
      </c>
      <c r="DR4" s="907" t="s">
        <v>218</v>
      </c>
      <c r="DS4" s="1615" t="s">
        <v>219</v>
      </c>
      <c r="DT4" s="1615" t="s">
        <v>220</v>
      </c>
      <c r="DU4" s="1615" t="s">
        <v>221</v>
      </c>
      <c r="DV4" s="1615" t="s">
        <v>222</v>
      </c>
      <c r="DW4" s="1616" t="s">
        <v>223</v>
      </c>
      <c r="DX4" s="909" t="s">
        <v>224</v>
      </c>
      <c r="DY4" s="1611" t="s">
        <v>225</v>
      </c>
      <c r="DZ4" s="907" t="s">
        <v>218</v>
      </c>
      <c r="EA4" s="1615" t="s">
        <v>219</v>
      </c>
      <c r="EB4" s="1615" t="s">
        <v>220</v>
      </c>
      <c r="EC4" s="1615" t="s">
        <v>221</v>
      </c>
      <c r="ED4" s="1615" t="s">
        <v>222</v>
      </c>
      <c r="EE4" s="1616" t="s">
        <v>223</v>
      </c>
      <c r="EF4" s="909" t="s">
        <v>224</v>
      </c>
      <c r="EG4" s="1611" t="s">
        <v>225</v>
      </c>
      <c r="EH4" s="907" t="s">
        <v>218</v>
      </c>
      <c r="EI4" s="1615" t="s">
        <v>219</v>
      </c>
      <c r="EJ4" s="1615" t="s">
        <v>220</v>
      </c>
      <c r="EK4" s="1615" t="s">
        <v>221</v>
      </c>
      <c r="EL4" s="1615" t="s">
        <v>222</v>
      </c>
      <c r="EM4" s="1616" t="s">
        <v>223</v>
      </c>
      <c r="EN4" s="909" t="s">
        <v>224</v>
      </c>
      <c r="EO4" s="906" t="s">
        <v>225</v>
      </c>
      <c r="EP4" s="910" t="s">
        <v>218</v>
      </c>
      <c r="EQ4" s="908" t="s">
        <v>219</v>
      </c>
      <c r="ER4" s="908" t="s">
        <v>220</v>
      </c>
      <c r="ES4" s="908" t="s">
        <v>221</v>
      </c>
      <c r="ET4" s="908" t="s">
        <v>222</v>
      </c>
      <c r="EU4" s="908" t="s">
        <v>223</v>
      </c>
      <c r="EV4" s="906" t="s">
        <v>224</v>
      </c>
      <c r="EW4" s="906" t="s">
        <v>225</v>
      </c>
      <c r="EX4" s="907" t="s">
        <v>218</v>
      </c>
      <c r="EY4" s="908" t="s">
        <v>219</v>
      </c>
      <c r="EZ4" s="908" t="s">
        <v>220</v>
      </c>
      <c r="FA4" s="908" t="s">
        <v>221</v>
      </c>
      <c r="FB4" s="908" t="s">
        <v>222</v>
      </c>
      <c r="FC4" s="908" t="s">
        <v>223</v>
      </c>
      <c r="FD4" s="906" t="s">
        <v>224</v>
      </c>
      <c r="FE4" s="906" t="s">
        <v>225</v>
      </c>
      <c r="FF4" s="907" t="s">
        <v>218</v>
      </c>
      <c r="FG4" s="908" t="s">
        <v>219</v>
      </c>
      <c r="FH4" s="908" t="s">
        <v>220</v>
      </c>
      <c r="FI4" s="908" t="s">
        <v>221</v>
      </c>
      <c r="FJ4" s="908" t="s">
        <v>222</v>
      </c>
      <c r="FK4" s="908" t="s">
        <v>223</v>
      </c>
      <c r="FL4" s="906" t="s">
        <v>224</v>
      </c>
      <c r="FM4" s="909" t="s">
        <v>225</v>
      </c>
      <c r="FN4" s="907" t="s">
        <v>218</v>
      </c>
      <c r="FO4" s="908" t="s">
        <v>219</v>
      </c>
      <c r="FP4" s="908" t="s">
        <v>220</v>
      </c>
      <c r="FQ4" s="908" t="s">
        <v>221</v>
      </c>
      <c r="FR4" s="908" t="s">
        <v>222</v>
      </c>
      <c r="FS4" s="908" t="s">
        <v>223</v>
      </c>
      <c r="FT4" s="906" t="s">
        <v>224</v>
      </c>
      <c r="FU4" s="906" t="s">
        <v>225</v>
      </c>
      <c r="FV4" s="910" t="s">
        <v>218</v>
      </c>
      <c r="FW4" s="908" t="s">
        <v>219</v>
      </c>
      <c r="FX4" s="908" t="s">
        <v>220</v>
      </c>
      <c r="FY4" s="908" t="s">
        <v>221</v>
      </c>
      <c r="FZ4" s="908" t="s">
        <v>222</v>
      </c>
      <c r="GA4" s="908" t="s">
        <v>223</v>
      </c>
      <c r="GB4" s="906" t="s">
        <v>224</v>
      </c>
      <c r="GC4" s="906" t="s">
        <v>225</v>
      </c>
      <c r="GD4" s="907" t="s">
        <v>218</v>
      </c>
      <c r="GE4" s="908" t="s">
        <v>219</v>
      </c>
      <c r="GF4" s="908" t="s">
        <v>220</v>
      </c>
      <c r="GG4" s="908" t="s">
        <v>221</v>
      </c>
      <c r="GH4" s="908" t="s">
        <v>222</v>
      </c>
      <c r="GI4" s="908" t="s">
        <v>223</v>
      </c>
      <c r="GJ4" s="906" t="s">
        <v>224</v>
      </c>
      <c r="GK4" s="906" t="s">
        <v>225</v>
      </c>
    </row>
    <row r="5" spans="1:193" ht="23.25" customHeight="1">
      <c r="A5" s="1674" t="s">
        <v>228</v>
      </c>
      <c r="B5" s="1627">
        <v>13489</v>
      </c>
      <c r="C5" s="1624">
        <v>27482</v>
      </c>
      <c r="D5" s="1628">
        <v>725</v>
      </c>
      <c r="E5" s="1624">
        <v>466</v>
      </c>
      <c r="F5" s="1624">
        <v>179</v>
      </c>
      <c r="G5" s="1625">
        <v>295</v>
      </c>
      <c r="H5" s="586">
        <f>SUM(B5:G5)</f>
        <v>42636</v>
      </c>
      <c r="I5" s="335">
        <v>1317.28</v>
      </c>
      <c r="J5" s="1621"/>
      <c r="K5" s="1613"/>
      <c r="L5" s="1613"/>
      <c r="M5" s="1613"/>
      <c r="N5" s="1613"/>
      <c r="O5" s="1614"/>
      <c r="P5" s="339">
        <f>SUM(J5:O5)</f>
        <v>0</v>
      </c>
      <c r="Q5" s="335"/>
      <c r="R5" s="1621"/>
      <c r="S5" s="1613">
        <v>253</v>
      </c>
      <c r="T5" s="1613">
        <v>3</v>
      </c>
      <c r="U5" s="1613">
        <v>1</v>
      </c>
      <c r="V5" s="1613">
        <v>1</v>
      </c>
      <c r="W5" s="1614"/>
      <c r="X5" s="339">
        <f>SUM(R5:W5)</f>
        <v>258</v>
      </c>
      <c r="Y5" s="479">
        <v>7.7</v>
      </c>
      <c r="Z5" s="1612">
        <v>36790</v>
      </c>
      <c r="AA5" s="1618">
        <v>121363</v>
      </c>
      <c r="AB5" s="1618">
        <v>250</v>
      </c>
      <c r="AC5" s="1618">
        <v>67</v>
      </c>
      <c r="AD5" s="1618"/>
      <c r="AE5" s="1619"/>
      <c r="AF5" s="343">
        <f>SUM(Z5:AE5)</f>
        <v>158470</v>
      </c>
      <c r="AG5" s="339">
        <v>1810</v>
      </c>
      <c r="AH5" s="1621"/>
      <c r="AI5" s="1618">
        <v>349</v>
      </c>
      <c r="AJ5" s="1618"/>
      <c r="AK5" s="1618"/>
      <c r="AL5" s="1618"/>
      <c r="AM5" s="1619"/>
      <c r="AN5" s="343">
        <f>SUM(AH5:AM5)</f>
        <v>349</v>
      </c>
      <c r="AO5" s="335">
        <v>10.32</v>
      </c>
      <c r="AP5" s="1621">
        <v>9</v>
      </c>
      <c r="AQ5" s="1613">
        <v>71</v>
      </c>
      <c r="AR5" s="1613"/>
      <c r="AS5" s="1613"/>
      <c r="AT5" s="1613"/>
      <c r="AU5" s="1614"/>
      <c r="AV5" s="339">
        <f>SUM(AP5:AU5)</f>
        <v>80</v>
      </c>
      <c r="AW5" s="335">
        <v>4</v>
      </c>
      <c r="AX5" s="1621">
        <v>18</v>
      </c>
      <c r="AY5" s="1618">
        <v>90</v>
      </c>
      <c r="AZ5" s="1618">
        <v>7</v>
      </c>
      <c r="BA5" s="1618">
        <v>8</v>
      </c>
      <c r="BB5" s="1618">
        <v>6</v>
      </c>
      <c r="BC5" s="1619"/>
      <c r="BD5" s="343">
        <f>SUM(AX5:BC5)</f>
        <v>129</v>
      </c>
      <c r="BE5" s="486"/>
      <c r="BF5" s="1623"/>
      <c r="BG5" s="1624"/>
      <c r="BH5" s="1624"/>
      <c r="BI5" s="1624"/>
      <c r="BJ5" s="1624"/>
      <c r="BK5" s="1625"/>
      <c r="BL5" s="586">
        <f>SUM(BF5:BK5)</f>
        <v>0</v>
      </c>
      <c r="BM5" s="335"/>
      <c r="BN5" s="1621">
        <v>18553</v>
      </c>
      <c r="BO5" s="1613">
        <v>10782</v>
      </c>
      <c r="BP5" s="1613">
        <v>87</v>
      </c>
      <c r="BQ5" s="1613">
        <v>13</v>
      </c>
      <c r="BR5" s="1613">
        <v>6</v>
      </c>
      <c r="BS5" s="1614">
        <v>2</v>
      </c>
      <c r="BT5" s="339">
        <f>SUM(BN5:BS5)</f>
        <v>29443</v>
      </c>
      <c r="BU5" s="486">
        <v>363.7</v>
      </c>
      <c r="BV5" s="1621"/>
      <c r="BW5" s="1613">
        <v>1550</v>
      </c>
      <c r="BX5" s="1613">
        <v>39</v>
      </c>
      <c r="BY5" s="1613">
        <v>28</v>
      </c>
      <c r="BZ5" s="1613">
        <v>6</v>
      </c>
      <c r="CA5" s="1614">
        <v>7</v>
      </c>
      <c r="CB5" s="339">
        <f>SUM(BV5:CA5)</f>
        <v>1630</v>
      </c>
      <c r="CC5" s="1127">
        <v>19.25</v>
      </c>
      <c r="CD5" s="1622">
        <v>7988</v>
      </c>
      <c r="CE5" s="1618">
        <v>56740</v>
      </c>
      <c r="CF5" s="1618">
        <v>4</v>
      </c>
      <c r="CG5" s="1618"/>
      <c r="CH5" s="1618"/>
      <c r="CI5" s="1619"/>
      <c r="CJ5" s="343">
        <f>SUM(CD5:CI5)</f>
        <v>64732</v>
      </c>
      <c r="CK5" s="335">
        <v>1505.89</v>
      </c>
      <c r="CL5" s="1621">
        <v>65757</v>
      </c>
      <c r="CM5" s="1613">
        <v>23415</v>
      </c>
      <c r="CN5" s="1613">
        <v>12202</v>
      </c>
      <c r="CO5" s="1613">
        <v>2295</v>
      </c>
      <c r="CP5" s="1613">
        <v>1106</v>
      </c>
      <c r="CQ5" s="1614">
        <v>1049</v>
      </c>
      <c r="CR5" s="339">
        <f>SUM(CL5:CQ5)</f>
        <v>105824</v>
      </c>
      <c r="CS5" s="335">
        <v>2382.01</v>
      </c>
      <c r="CT5" s="1612"/>
      <c r="CU5" s="1613">
        <v>5911</v>
      </c>
      <c r="CV5" s="1613"/>
      <c r="CW5" s="1613"/>
      <c r="CX5" s="1613"/>
      <c r="CY5" s="1613"/>
      <c r="CZ5" s="1620">
        <v>5911</v>
      </c>
      <c r="DA5" s="339">
        <v>114.02</v>
      </c>
      <c r="DB5" s="1612"/>
      <c r="DC5" s="1613">
        <v>2992</v>
      </c>
      <c r="DD5" s="1613">
        <v>10</v>
      </c>
      <c r="DE5" s="1613">
        <v>9</v>
      </c>
      <c r="DF5" s="1613">
        <v>9</v>
      </c>
      <c r="DG5" s="1614">
        <v>7</v>
      </c>
      <c r="DH5" s="339">
        <f>SUM(DB5:DG5)</f>
        <v>3027</v>
      </c>
      <c r="DI5" s="339">
        <v>72.61</v>
      </c>
      <c r="DJ5" s="1613">
        <v>9731</v>
      </c>
      <c r="DK5" s="1613">
        <v>24067</v>
      </c>
      <c r="DL5" s="1613">
        <v>340</v>
      </c>
      <c r="DM5" s="1613">
        <v>136</v>
      </c>
      <c r="DN5" s="1613">
        <v>100</v>
      </c>
      <c r="DO5" s="1614">
        <v>1</v>
      </c>
      <c r="DP5" s="339">
        <f>SUM(DJ5:DO5)</f>
        <v>34375</v>
      </c>
      <c r="DQ5" s="339">
        <v>914.47</v>
      </c>
      <c r="DR5" s="1617">
        <v>19318</v>
      </c>
      <c r="DS5" s="1618">
        <v>328</v>
      </c>
      <c r="DT5" s="1618"/>
      <c r="DU5" s="1618"/>
      <c r="DV5" s="1618"/>
      <c r="DW5" s="1619"/>
      <c r="DX5" s="343">
        <f>SUM(DR5:DW5)</f>
        <v>19646</v>
      </c>
      <c r="DY5" s="339">
        <v>256.5</v>
      </c>
      <c r="DZ5" s="1612">
        <v>39</v>
      </c>
      <c r="EA5" s="1613">
        <v>1760</v>
      </c>
      <c r="EB5" s="1613">
        <v>35</v>
      </c>
      <c r="EC5" s="1613"/>
      <c r="ED5" s="1613"/>
      <c r="EE5" s="1614"/>
      <c r="EF5" s="339">
        <f>SUM(DZ5:EE5)</f>
        <v>1834</v>
      </c>
      <c r="EG5" s="339">
        <v>4658</v>
      </c>
      <c r="EH5" s="1617"/>
      <c r="EI5" s="1618">
        <v>2362</v>
      </c>
      <c r="EJ5" s="1618"/>
      <c r="EK5" s="1618"/>
      <c r="EL5" s="1618"/>
      <c r="EM5" s="1619"/>
      <c r="EN5" s="343">
        <f>SUM(EH5:EM5)</f>
        <v>2362</v>
      </c>
      <c r="EO5" s="339">
        <v>61.19</v>
      </c>
      <c r="EP5" s="344"/>
      <c r="EQ5" s="341"/>
      <c r="ER5" s="341"/>
      <c r="ES5" s="341"/>
      <c r="ET5" s="341"/>
      <c r="EU5" s="342"/>
      <c r="EV5" s="343">
        <f>SUM(EP5:EU5)</f>
        <v>0</v>
      </c>
      <c r="EW5" s="339"/>
      <c r="EX5" s="345">
        <v>10664</v>
      </c>
      <c r="EY5" s="346">
        <v>165661</v>
      </c>
      <c r="EZ5" s="347">
        <v>196</v>
      </c>
      <c r="FA5" s="347">
        <v>18</v>
      </c>
      <c r="FB5" s="347">
        <v>1</v>
      </c>
      <c r="FC5" s="348">
        <v>2</v>
      </c>
      <c r="FD5" s="349">
        <f>SUM(EX5:FC5)</f>
        <v>176542</v>
      </c>
      <c r="FE5" s="350">
        <v>3536.37</v>
      </c>
      <c r="FF5" s="336">
        <v>8</v>
      </c>
      <c r="FG5" s="337">
        <v>995</v>
      </c>
      <c r="FH5" s="337">
        <v>30</v>
      </c>
      <c r="FI5" s="337">
        <v>1</v>
      </c>
      <c r="FJ5" s="337"/>
      <c r="FK5" s="338"/>
      <c r="FL5" s="339">
        <f>SUM(FF5:FK5)</f>
        <v>1034</v>
      </c>
      <c r="FM5" s="335">
        <v>1392.94</v>
      </c>
      <c r="FN5" s="344">
        <v>325</v>
      </c>
      <c r="FO5" s="341">
        <v>1731</v>
      </c>
      <c r="FP5" s="341">
        <v>645</v>
      </c>
      <c r="FQ5" s="341">
        <v>268</v>
      </c>
      <c r="FR5" s="341">
        <v>108</v>
      </c>
      <c r="FS5" s="342"/>
      <c r="FT5" s="343">
        <f>SUM(FN5:FS5)</f>
        <v>3077</v>
      </c>
      <c r="FU5" s="339">
        <v>48.44</v>
      </c>
      <c r="FV5" s="340">
        <v>7528</v>
      </c>
      <c r="FW5" s="337">
        <v>12019</v>
      </c>
      <c r="FX5" s="337">
        <v>4</v>
      </c>
      <c r="FY5" s="337"/>
      <c r="FZ5" s="337"/>
      <c r="GA5" s="338"/>
      <c r="GB5" s="339">
        <f>SUM(FV5:GA5)</f>
        <v>19551</v>
      </c>
      <c r="GC5" s="339">
        <v>623.75</v>
      </c>
      <c r="GD5" s="480"/>
      <c r="GE5" s="341"/>
      <c r="GF5" s="341"/>
      <c r="GG5" s="341"/>
      <c r="GH5" s="341"/>
      <c r="GI5" s="342"/>
      <c r="GJ5" s="343">
        <f>SUM(GD5:GI5)</f>
        <v>0</v>
      </c>
      <c r="GK5" s="339"/>
    </row>
    <row r="6" spans="1:193" ht="23.25" customHeight="1">
      <c r="A6" s="1675" t="s">
        <v>124</v>
      </c>
      <c r="B6" s="1055">
        <v>14358</v>
      </c>
      <c r="C6" s="352">
        <v>24693</v>
      </c>
      <c r="D6" s="1416">
        <v>233</v>
      </c>
      <c r="E6" s="352">
        <v>142</v>
      </c>
      <c r="F6" s="352">
        <v>76</v>
      </c>
      <c r="G6" s="590">
        <v>0</v>
      </c>
      <c r="H6" s="587">
        <f aca="true" t="shared" si="0" ref="H6:H12">SUM(B6:G6)</f>
        <v>39502</v>
      </c>
      <c r="I6" s="353">
        <v>39.99</v>
      </c>
      <c r="J6" s="354"/>
      <c r="K6" s="355"/>
      <c r="L6" s="355"/>
      <c r="M6" s="355"/>
      <c r="N6" s="355"/>
      <c r="O6" s="356"/>
      <c r="P6" s="357">
        <f aca="true" t="shared" si="1" ref="P6:P12">SUM(J6:O6)</f>
        <v>0</v>
      </c>
      <c r="Q6" s="358"/>
      <c r="R6" s="359"/>
      <c r="S6" s="355">
        <v>2257</v>
      </c>
      <c r="T6" s="355">
        <v>61</v>
      </c>
      <c r="U6" s="355">
        <v>9</v>
      </c>
      <c r="V6" s="355">
        <v>-1</v>
      </c>
      <c r="W6" s="356">
        <v>1</v>
      </c>
      <c r="X6" s="357">
        <f aca="true" t="shared" si="2" ref="X6:X12">SUM(R6:W6)</f>
        <v>2327</v>
      </c>
      <c r="Y6" s="358">
        <v>9.57</v>
      </c>
      <c r="Z6" s="360">
        <v>71030</v>
      </c>
      <c r="AA6" s="355">
        <v>62852</v>
      </c>
      <c r="AB6" s="355">
        <v>13</v>
      </c>
      <c r="AC6" s="355"/>
      <c r="AD6" s="355"/>
      <c r="AE6" s="356"/>
      <c r="AF6" s="357">
        <f aca="true" t="shared" si="3" ref="AF6:AF12">SUM(Z6:AE6)</f>
        <v>133895</v>
      </c>
      <c r="AG6" s="361">
        <v>363</v>
      </c>
      <c r="AH6" s="354">
        <v>37797</v>
      </c>
      <c r="AI6" s="355">
        <v>1739</v>
      </c>
      <c r="AJ6" s="355">
        <v>1</v>
      </c>
      <c r="AK6" s="355"/>
      <c r="AL6" s="355"/>
      <c r="AM6" s="356"/>
      <c r="AN6" s="357">
        <f aca="true" t="shared" si="4" ref="AN6:AN12">SUM(AH6:AM6)</f>
        <v>39537</v>
      </c>
      <c r="AO6" s="358">
        <v>1.9</v>
      </c>
      <c r="AP6" s="359">
        <v>3851</v>
      </c>
      <c r="AQ6" s="355">
        <v>537</v>
      </c>
      <c r="AR6" s="355"/>
      <c r="AS6" s="355"/>
      <c r="AT6" s="355"/>
      <c r="AU6" s="356">
        <v>1</v>
      </c>
      <c r="AV6" s="357">
        <f aca="true" t="shared" si="5" ref="AV6:AV12">SUM(AP6:AU6)</f>
        <v>4389</v>
      </c>
      <c r="AW6" s="358">
        <v>15.03</v>
      </c>
      <c r="AX6" s="359">
        <v>1017</v>
      </c>
      <c r="AY6" s="355">
        <v>3130</v>
      </c>
      <c r="AZ6" s="355">
        <v>706</v>
      </c>
      <c r="BA6" s="355">
        <v>85</v>
      </c>
      <c r="BB6" s="355">
        <v>19</v>
      </c>
      <c r="BC6" s="356">
        <v>14</v>
      </c>
      <c r="BD6" s="357">
        <f aca="true" t="shared" si="6" ref="BD6:BD12">SUM(AX6:BC6)</f>
        <v>4971</v>
      </c>
      <c r="BE6" s="487"/>
      <c r="BF6" s="351">
        <v>268</v>
      </c>
      <c r="BG6" s="352">
        <v>89</v>
      </c>
      <c r="BH6" s="352"/>
      <c r="BI6" s="352"/>
      <c r="BJ6" s="352"/>
      <c r="BK6" s="590"/>
      <c r="BL6" s="587">
        <f>SUM(BF6:BK6)</f>
        <v>357</v>
      </c>
      <c r="BM6" s="353">
        <v>1.18</v>
      </c>
      <c r="BN6" s="354">
        <v>40245</v>
      </c>
      <c r="BO6" s="363">
        <v>6430</v>
      </c>
      <c r="BP6" s="363">
        <v>278</v>
      </c>
      <c r="BQ6" s="363">
        <v>32</v>
      </c>
      <c r="BR6" s="363">
        <v>13</v>
      </c>
      <c r="BS6" s="364"/>
      <c r="BT6" s="361">
        <f aca="true" t="shared" si="7" ref="BT6:BT12">SUM(BN6:BS6)</f>
        <v>46998</v>
      </c>
      <c r="BU6" s="487">
        <v>213.3</v>
      </c>
      <c r="BV6" s="359"/>
      <c r="BW6" s="355">
        <v>4006</v>
      </c>
      <c r="BX6" s="355">
        <v>13</v>
      </c>
      <c r="BY6" s="355">
        <v>1</v>
      </c>
      <c r="BZ6" s="355"/>
      <c r="CA6" s="356"/>
      <c r="CB6" s="357">
        <f aca="true" t="shared" si="8" ref="CB6:CB12">SUM(BV6:CA6)</f>
        <v>4020</v>
      </c>
      <c r="CC6" s="487">
        <v>9.94</v>
      </c>
      <c r="CD6" s="359">
        <v>6215</v>
      </c>
      <c r="CE6" s="355">
        <v>2853</v>
      </c>
      <c r="CF6" s="355">
        <v>139</v>
      </c>
      <c r="CG6" s="355">
        <v>13</v>
      </c>
      <c r="CH6" s="355"/>
      <c r="CI6" s="356"/>
      <c r="CJ6" s="365">
        <f aca="true" t="shared" si="9" ref="CJ6:CJ12">SUM(CD6:CI6)</f>
        <v>9220</v>
      </c>
      <c r="CK6" s="358">
        <v>20.32</v>
      </c>
      <c r="CL6" s="359">
        <v>56741</v>
      </c>
      <c r="CM6" s="355">
        <v>21518</v>
      </c>
      <c r="CN6" s="355">
        <v>20763</v>
      </c>
      <c r="CO6" s="355">
        <v>651</v>
      </c>
      <c r="CP6" s="355">
        <v>335</v>
      </c>
      <c r="CQ6" s="356">
        <v>93</v>
      </c>
      <c r="CR6" s="357">
        <f aca="true" t="shared" si="10" ref="CR6:CR12">SUM(CL6:CQ6)</f>
        <v>100101</v>
      </c>
      <c r="CS6" s="358">
        <v>291.46</v>
      </c>
      <c r="CT6" s="490"/>
      <c r="CU6" s="366">
        <v>24172</v>
      </c>
      <c r="CV6" s="366"/>
      <c r="CW6" s="366"/>
      <c r="CX6" s="366"/>
      <c r="CY6" s="366"/>
      <c r="CZ6" s="367">
        <v>24172</v>
      </c>
      <c r="DA6" s="368">
        <v>100.88</v>
      </c>
      <c r="DB6" s="362"/>
      <c r="DC6" s="355">
        <v>7002</v>
      </c>
      <c r="DD6" s="355">
        <v>82</v>
      </c>
      <c r="DE6" s="355">
        <v>144</v>
      </c>
      <c r="DF6" s="355">
        <v>84</v>
      </c>
      <c r="DG6" s="356">
        <v>9</v>
      </c>
      <c r="DH6" s="357">
        <f aca="true" t="shared" si="11" ref="DH6:DH12">SUM(DB6:DG6)</f>
        <v>7321</v>
      </c>
      <c r="DI6" s="361">
        <v>20.62</v>
      </c>
      <c r="DJ6" s="355">
        <v>25596</v>
      </c>
      <c r="DK6" s="355">
        <v>1041</v>
      </c>
      <c r="DL6" s="355">
        <v>338</v>
      </c>
      <c r="DM6" s="355">
        <v>165</v>
      </c>
      <c r="DN6" s="355">
        <v>302</v>
      </c>
      <c r="DO6" s="356"/>
      <c r="DP6" s="357">
        <f aca="true" t="shared" si="12" ref="DP6:DP12">SUM(DJ6:DO6)</f>
        <v>27442</v>
      </c>
      <c r="DQ6" s="361">
        <v>98.32</v>
      </c>
      <c r="DR6" s="362">
        <v>24201</v>
      </c>
      <c r="DS6" s="355"/>
      <c r="DT6" s="355"/>
      <c r="DU6" s="355"/>
      <c r="DV6" s="355"/>
      <c r="DW6" s="356"/>
      <c r="DX6" s="357">
        <f aca="true" t="shared" si="13" ref="DX6:DX12">SUM(DR6:DW6)</f>
        <v>24201</v>
      </c>
      <c r="DY6" s="361">
        <v>37.43</v>
      </c>
      <c r="DZ6" s="362">
        <v>14772</v>
      </c>
      <c r="EA6" s="355">
        <v>34797</v>
      </c>
      <c r="EB6" s="355">
        <v>985</v>
      </c>
      <c r="EC6" s="355"/>
      <c r="ED6" s="355"/>
      <c r="EE6" s="356"/>
      <c r="EF6" s="357">
        <f aca="true" t="shared" si="14" ref="EF6:EF12">SUM(DZ6:EE6)</f>
        <v>50554</v>
      </c>
      <c r="EG6" s="361">
        <v>8344</v>
      </c>
      <c r="EH6" s="362"/>
      <c r="EI6" s="355"/>
      <c r="EJ6" s="355"/>
      <c r="EK6" s="355"/>
      <c r="EL6" s="355"/>
      <c r="EM6" s="356"/>
      <c r="EN6" s="357">
        <f aca="true" t="shared" si="15" ref="EN6:EN12">SUM(EH6:EM6)</f>
        <v>0</v>
      </c>
      <c r="EO6" s="361"/>
      <c r="EP6" s="369"/>
      <c r="EQ6" s="355"/>
      <c r="ER6" s="355"/>
      <c r="ES6" s="355"/>
      <c r="ET6" s="355"/>
      <c r="EU6" s="356"/>
      <c r="EV6" s="357">
        <f aca="true" t="shared" si="16" ref="EV6:EV12">SUM(EP6:EU6)</f>
        <v>0</v>
      </c>
      <c r="EW6" s="361"/>
      <c r="EX6" s="370">
        <v>49146</v>
      </c>
      <c r="EY6" s="371">
        <v>18051</v>
      </c>
      <c r="EZ6" s="371">
        <v>1119</v>
      </c>
      <c r="FA6" s="371">
        <v>586</v>
      </c>
      <c r="FB6" s="371">
        <v>284</v>
      </c>
      <c r="FC6" s="372">
        <v>212</v>
      </c>
      <c r="FD6" s="373">
        <f aca="true" t="shared" si="17" ref="FD6:FD12">SUM(EX6:FC6)</f>
        <v>69398</v>
      </c>
      <c r="FE6" s="374">
        <v>265.03</v>
      </c>
      <c r="FF6" s="375">
        <v>1317</v>
      </c>
      <c r="FG6" s="376">
        <v>888</v>
      </c>
      <c r="FH6" s="376">
        <v>16</v>
      </c>
      <c r="FI6" s="376">
        <v>4</v>
      </c>
      <c r="FJ6" s="376"/>
      <c r="FK6" s="377"/>
      <c r="FL6" s="378">
        <f aca="true" t="shared" si="18" ref="FL6:FL12">SUM(FF6:FK6)</f>
        <v>2225</v>
      </c>
      <c r="FM6" s="379">
        <v>1183</v>
      </c>
      <c r="FN6" s="380">
        <v>225</v>
      </c>
      <c r="FO6" s="381">
        <v>1711</v>
      </c>
      <c r="FP6" s="381">
        <v>89</v>
      </c>
      <c r="FQ6" s="381">
        <v>36</v>
      </c>
      <c r="FR6" s="381">
        <v>18</v>
      </c>
      <c r="FS6" s="382"/>
      <c r="FT6" s="383">
        <f aca="true" t="shared" si="19" ref="FT6:FT12">SUM(FN6:FS6)</f>
        <v>2079</v>
      </c>
      <c r="FU6" s="384">
        <v>13.1</v>
      </c>
      <c r="FV6" s="362">
        <v>293024</v>
      </c>
      <c r="FW6" s="355">
        <v>55056</v>
      </c>
      <c r="FX6" s="355">
        <v>20</v>
      </c>
      <c r="FY6" s="355"/>
      <c r="FZ6" s="355"/>
      <c r="GA6" s="356"/>
      <c r="GB6" s="357">
        <f aca="true" t="shared" si="20" ref="GB6:GB12">SUM(FV6:GA6)</f>
        <v>348100</v>
      </c>
      <c r="GC6" s="361">
        <v>303.88</v>
      </c>
      <c r="GD6" s="491"/>
      <c r="GE6" s="381"/>
      <c r="GF6" s="381"/>
      <c r="GG6" s="381"/>
      <c r="GH6" s="381"/>
      <c r="GI6" s="382"/>
      <c r="GJ6" s="383">
        <f aca="true" t="shared" si="21" ref="GJ6:GJ12">SUM(GD6:GI6)</f>
        <v>0</v>
      </c>
      <c r="GK6" s="384"/>
    </row>
    <row r="7" spans="1:193" ht="23.25" customHeight="1">
      <c r="A7" s="1675" t="s">
        <v>229</v>
      </c>
      <c r="B7" s="1056">
        <v>16602</v>
      </c>
      <c r="C7" s="352">
        <v>0</v>
      </c>
      <c r="D7" s="352">
        <v>0</v>
      </c>
      <c r="E7" s="352">
        <v>0</v>
      </c>
      <c r="F7" s="352">
        <v>0</v>
      </c>
      <c r="G7" s="590">
        <v>0</v>
      </c>
      <c r="H7" s="587">
        <f t="shared" si="0"/>
        <v>16602</v>
      </c>
      <c r="I7" s="353">
        <v>12.32</v>
      </c>
      <c r="J7" s="354"/>
      <c r="K7" s="355"/>
      <c r="L7" s="355"/>
      <c r="M7" s="355"/>
      <c r="N7" s="355"/>
      <c r="O7" s="356"/>
      <c r="P7" s="357">
        <f t="shared" si="1"/>
        <v>0</v>
      </c>
      <c r="Q7" s="358"/>
      <c r="R7" s="359"/>
      <c r="S7" s="355"/>
      <c r="T7" s="355"/>
      <c r="U7" s="355"/>
      <c r="V7" s="355"/>
      <c r="W7" s="356"/>
      <c r="X7" s="357">
        <f t="shared" si="2"/>
        <v>0</v>
      </c>
      <c r="Y7" s="358"/>
      <c r="Z7" s="360">
        <v>9505</v>
      </c>
      <c r="AA7" s="355">
        <v>6189</v>
      </c>
      <c r="AB7" s="355">
        <v>68</v>
      </c>
      <c r="AC7" s="355"/>
      <c r="AD7" s="355"/>
      <c r="AE7" s="356"/>
      <c r="AF7" s="357">
        <f t="shared" si="3"/>
        <v>15762</v>
      </c>
      <c r="AG7" s="361">
        <v>8</v>
      </c>
      <c r="AH7" s="354"/>
      <c r="AI7" s="355">
        <v>39</v>
      </c>
      <c r="AJ7" s="355"/>
      <c r="AK7" s="355"/>
      <c r="AL7" s="355"/>
      <c r="AM7" s="356"/>
      <c r="AN7" s="357">
        <f t="shared" si="4"/>
        <v>39</v>
      </c>
      <c r="AO7" s="358">
        <v>1.4</v>
      </c>
      <c r="AP7" s="359">
        <v>604</v>
      </c>
      <c r="AQ7" s="355">
        <v>58</v>
      </c>
      <c r="AR7" s="355">
        <v>1</v>
      </c>
      <c r="AS7" s="355"/>
      <c r="AT7" s="355"/>
      <c r="AU7" s="356"/>
      <c r="AV7" s="357">
        <f t="shared" si="5"/>
        <v>663</v>
      </c>
      <c r="AW7" s="358">
        <v>2.71</v>
      </c>
      <c r="AX7" s="359"/>
      <c r="AY7" s="355"/>
      <c r="AZ7" s="355"/>
      <c r="BA7" s="355"/>
      <c r="BB7" s="355"/>
      <c r="BC7" s="356"/>
      <c r="BD7" s="357">
        <f t="shared" si="6"/>
        <v>0</v>
      </c>
      <c r="BE7" s="487"/>
      <c r="BF7" s="388">
        <v>369</v>
      </c>
      <c r="BG7" s="352">
        <v>110</v>
      </c>
      <c r="BH7" s="352"/>
      <c r="BI7" s="352"/>
      <c r="BJ7" s="352"/>
      <c r="BK7" s="590"/>
      <c r="BL7" s="587">
        <f>SUM(BF7:BK7)</f>
        <v>479</v>
      </c>
      <c r="BM7" s="353">
        <v>0.5</v>
      </c>
      <c r="BN7" s="359"/>
      <c r="BO7" s="355">
        <v>4039</v>
      </c>
      <c r="BP7" s="355"/>
      <c r="BQ7" s="355"/>
      <c r="BR7" s="355"/>
      <c r="BS7" s="356"/>
      <c r="BT7" s="357">
        <f t="shared" si="7"/>
        <v>4039</v>
      </c>
      <c r="BU7" s="487">
        <v>3.75</v>
      </c>
      <c r="BV7" s="359"/>
      <c r="BW7" s="355">
        <v>778</v>
      </c>
      <c r="BX7" s="355">
        <v>7</v>
      </c>
      <c r="BY7" s="355"/>
      <c r="BZ7" s="355"/>
      <c r="CA7" s="356"/>
      <c r="CB7" s="357">
        <f t="shared" si="8"/>
        <v>785</v>
      </c>
      <c r="CC7" s="487">
        <v>0.14</v>
      </c>
      <c r="CD7" s="359">
        <v>108735</v>
      </c>
      <c r="CE7" s="355">
        <v>3170</v>
      </c>
      <c r="CF7" s="355">
        <v>4</v>
      </c>
      <c r="CG7" s="355"/>
      <c r="CH7" s="355"/>
      <c r="CI7" s="356"/>
      <c r="CJ7" s="365">
        <f t="shared" si="9"/>
        <v>111909</v>
      </c>
      <c r="CK7" s="358">
        <v>200.07</v>
      </c>
      <c r="CL7" s="359">
        <v>52373</v>
      </c>
      <c r="CM7" s="355">
        <v>6886</v>
      </c>
      <c r="CN7" s="355">
        <v>86445</v>
      </c>
      <c r="CO7" s="355">
        <v>462</v>
      </c>
      <c r="CP7" s="355">
        <v>1046</v>
      </c>
      <c r="CQ7" s="356">
        <v>2542</v>
      </c>
      <c r="CR7" s="357">
        <f t="shared" si="10"/>
        <v>149754</v>
      </c>
      <c r="CS7" s="358">
        <v>228.28</v>
      </c>
      <c r="CT7" s="490"/>
      <c r="CU7" s="366">
        <v>19</v>
      </c>
      <c r="CV7" s="366"/>
      <c r="CW7" s="366"/>
      <c r="CX7" s="366"/>
      <c r="CY7" s="366"/>
      <c r="CZ7" s="367">
        <v>19</v>
      </c>
      <c r="DA7" s="368">
        <v>0.01</v>
      </c>
      <c r="DB7" s="362"/>
      <c r="DC7" s="355">
        <v>42</v>
      </c>
      <c r="DD7" s="355"/>
      <c r="DE7" s="355"/>
      <c r="DF7" s="355"/>
      <c r="DG7" s="356"/>
      <c r="DH7" s="357">
        <f t="shared" si="11"/>
        <v>42</v>
      </c>
      <c r="DI7" s="361">
        <v>0.03</v>
      </c>
      <c r="DJ7" s="355">
        <v>5617</v>
      </c>
      <c r="DK7" s="355">
        <v>530</v>
      </c>
      <c r="DL7" s="355">
        <v>35</v>
      </c>
      <c r="DM7" s="355">
        <v>29</v>
      </c>
      <c r="DN7" s="355">
        <v>12</v>
      </c>
      <c r="DO7" s="356">
        <v>11</v>
      </c>
      <c r="DP7" s="357">
        <f t="shared" si="12"/>
        <v>6234</v>
      </c>
      <c r="DQ7" s="361">
        <v>12.75</v>
      </c>
      <c r="DR7" s="362">
        <v>1591</v>
      </c>
      <c r="DS7" s="355"/>
      <c r="DT7" s="355"/>
      <c r="DU7" s="355"/>
      <c r="DV7" s="355"/>
      <c r="DW7" s="356"/>
      <c r="DX7" s="357">
        <f t="shared" si="13"/>
        <v>1591</v>
      </c>
      <c r="DY7" s="361">
        <v>3.4</v>
      </c>
      <c r="DZ7" s="362">
        <v>111</v>
      </c>
      <c r="EA7" s="355">
        <v>173</v>
      </c>
      <c r="EB7" s="355"/>
      <c r="EC7" s="355"/>
      <c r="ED7" s="355"/>
      <c r="EE7" s="356"/>
      <c r="EF7" s="357">
        <f t="shared" si="14"/>
        <v>284</v>
      </c>
      <c r="EG7" s="361">
        <v>787</v>
      </c>
      <c r="EH7" s="362"/>
      <c r="EI7" s="355"/>
      <c r="EJ7" s="355"/>
      <c r="EK7" s="355"/>
      <c r="EL7" s="355"/>
      <c r="EM7" s="356"/>
      <c r="EN7" s="357">
        <f t="shared" si="15"/>
        <v>0</v>
      </c>
      <c r="EO7" s="361"/>
      <c r="EP7" s="369"/>
      <c r="EQ7" s="355"/>
      <c r="ER7" s="355"/>
      <c r="ES7" s="355"/>
      <c r="ET7" s="355"/>
      <c r="EU7" s="356"/>
      <c r="EV7" s="357">
        <f t="shared" si="16"/>
        <v>0</v>
      </c>
      <c r="EW7" s="361"/>
      <c r="EX7" s="370">
        <v>129380</v>
      </c>
      <c r="EY7" s="371"/>
      <c r="EZ7" s="371"/>
      <c r="FA7" s="371"/>
      <c r="FB7" s="371"/>
      <c r="FC7" s="372"/>
      <c r="FD7" s="373">
        <f t="shared" si="17"/>
        <v>129380</v>
      </c>
      <c r="FE7" s="374">
        <v>62.2</v>
      </c>
      <c r="FF7" s="375">
        <v>116</v>
      </c>
      <c r="FG7" s="376">
        <v>116</v>
      </c>
      <c r="FH7" s="376"/>
      <c r="FI7" s="376"/>
      <c r="FJ7" s="376"/>
      <c r="FK7" s="377"/>
      <c r="FL7" s="378">
        <f t="shared" si="18"/>
        <v>232</v>
      </c>
      <c r="FM7" s="379">
        <v>12.3</v>
      </c>
      <c r="FN7" s="380"/>
      <c r="FO7" s="381">
        <v>1338</v>
      </c>
      <c r="FP7" s="381"/>
      <c r="FQ7" s="381"/>
      <c r="FR7" s="381"/>
      <c r="FS7" s="382"/>
      <c r="FT7" s="383">
        <f t="shared" si="19"/>
        <v>1338</v>
      </c>
      <c r="FU7" s="384">
        <v>2.99</v>
      </c>
      <c r="FV7" s="362">
        <v>3223</v>
      </c>
      <c r="FW7" s="355">
        <v>315</v>
      </c>
      <c r="FX7" s="355">
        <v>1</v>
      </c>
      <c r="FY7" s="355"/>
      <c r="FZ7" s="355"/>
      <c r="GA7" s="356"/>
      <c r="GB7" s="357">
        <f t="shared" si="20"/>
        <v>3539</v>
      </c>
      <c r="GC7" s="361">
        <v>6.52</v>
      </c>
      <c r="GD7" s="491"/>
      <c r="GE7" s="381"/>
      <c r="GF7" s="381"/>
      <c r="GG7" s="381"/>
      <c r="GH7" s="381"/>
      <c r="GI7" s="382"/>
      <c r="GJ7" s="383">
        <f t="shared" si="21"/>
        <v>0</v>
      </c>
      <c r="GK7" s="384"/>
    </row>
    <row r="8" spans="1:193" ht="23.25" customHeight="1">
      <c r="A8" s="1675" t="s">
        <v>126</v>
      </c>
      <c r="B8" s="1056"/>
      <c r="C8" s="352">
        <v>58375</v>
      </c>
      <c r="D8" s="352">
        <v>67</v>
      </c>
      <c r="E8" s="352">
        <v>5</v>
      </c>
      <c r="F8" s="352">
        <v>1</v>
      </c>
      <c r="G8" s="590"/>
      <c r="H8" s="587">
        <f t="shared" si="0"/>
        <v>58448</v>
      </c>
      <c r="I8" s="353">
        <v>1477.34</v>
      </c>
      <c r="J8" s="354"/>
      <c r="K8" s="355"/>
      <c r="L8" s="355"/>
      <c r="M8" s="355"/>
      <c r="N8" s="355"/>
      <c r="O8" s="356"/>
      <c r="P8" s="357">
        <f t="shared" si="1"/>
        <v>0</v>
      </c>
      <c r="Q8" s="358"/>
      <c r="R8" s="359"/>
      <c r="S8" s="355">
        <v>2319</v>
      </c>
      <c r="T8" s="355">
        <v>130</v>
      </c>
      <c r="U8" s="355">
        <v>7</v>
      </c>
      <c r="V8" s="355">
        <v>5</v>
      </c>
      <c r="W8" s="356">
        <f>9</f>
        <v>9</v>
      </c>
      <c r="X8" s="357">
        <f t="shared" si="2"/>
        <v>2470</v>
      </c>
      <c r="Y8" s="358"/>
      <c r="Z8" s="360"/>
      <c r="AA8" s="355">
        <v>100482</v>
      </c>
      <c r="AB8" s="355">
        <v>1082</v>
      </c>
      <c r="AC8" s="355">
        <v>170</v>
      </c>
      <c r="AD8" s="355">
        <v>5</v>
      </c>
      <c r="AE8" s="356"/>
      <c r="AF8" s="357">
        <f t="shared" si="3"/>
        <v>101739</v>
      </c>
      <c r="AG8" s="361">
        <v>1089</v>
      </c>
      <c r="AH8" s="354"/>
      <c r="AI8" s="355">
        <v>2448</v>
      </c>
      <c r="AJ8" s="355"/>
      <c r="AK8" s="355"/>
      <c r="AL8" s="355"/>
      <c r="AM8" s="356"/>
      <c r="AN8" s="357">
        <f t="shared" si="4"/>
        <v>2448</v>
      </c>
      <c r="AO8" s="358">
        <v>37.01</v>
      </c>
      <c r="AP8" s="359">
        <v>3</v>
      </c>
      <c r="AQ8" s="355">
        <v>2714</v>
      </c>
      <c r="AR8" s="355">
        <v>6</v>
      </c>
      <c r="AS8" s="355"/>
      <c r="AT8" s="355"/>
      <c r="AU8" s="356"/>
      <c r="AV8" s="357">
        <f t="shared" si="5"/>
        <v>2723</v>
      </c>
      <c r="AW8" s="358">
        <v>148.67</v>
      </c>
      <c r="AX8" s="359">
        <v>3159</v>
      </c>
      <c r="AY8" s="355">
        <v>45301</v>
      </c>
      <c r="AZ8" s="355">
        <v>1960</v>
      </c>
      <c r="BA8" s="355">
        <v>490</v>
      </c>
      <c r="BB8" s="355">
        <v>444</v>
      </c>
      <c r="BC8" s="356">
        <v>5</v>
      </c>
      <c r="BD8" s="357">
        <f t="shared" si="6"/>
        <v>51359</v>
      </c>
      <c r="BE8" s="487"/>
      <c r="BF8" s="388">
        <v>2417</v>
      </c>
      <c r="BG8" s="352"/>
      <c r="BH8" s="352"/>
      <c r="BI8" s="352"/>
      <c r="BJ8" s="352"/>
      <c r="BK8" s="590"/>
      <c r="BL8" s="587">
        <f>SUM(BF8:BK8)</f>
        <v>2417</v>
      </c>
      <c r="BM8" s="353">
        <v>22.37</v>
      </c>
      <c r="BN8" s="359"/>
      <c r="BO8" s="355">
        <v>34282</v>
      </c>
      <c r="BP8" s="355">
        <v>758</v>
      </c>
      <c r="BQ8" s="355">
        <v>5</v>
      </c>
      <c r="BR8" s="355">
        <v>4</v>
      </c>
      <c r="BS8" s="356">
        <v>1</v>
      </c>
      <c r="BT8" s="357">
        <f t="shared" si="7"/>
        <v>35050</v>
      </c>
      <c r="BU8" s="487">
        <v>437.57</v>
      </c>
      <c r="BV8" s="359"/>
      <c r="BW8" s="355">
        <v>2466</v>
      </c>
      <c r="BX8" s="355">
        <v>1</v>
      </c>
      <c r="BY8" s="355"/>
      <c r="BZ8" s="355"/>
      <c r="CA8" s="356"/>
      <c r="CB8" s="357">
        <f t="shared" si="8"/>
        <v>2467</v>
      </c>
      <c r="CC8" s="487">
        <v>24.99</v>
      </c>
      <c r="CD8" s="359"/>
      <c r="CE8" s="355">
        <v>38201</v>
      </c>
      <c r="CF8" s="355">
        <v>19</v>
      </c>
      <c r="CG8" s="355">
        <v>1</v>
      </c>
      <c r="CH8" s="355">
        <v>5</v>
      </c>
      <c r="CI8" s="356">
        <v>6</v>
      </c>
      <c r="CJ8" s="365">
        <f t="shared" si="9"/>
        <v>38232</v>
      </c>
      <c r="CK8" s="358">
        <v>1304.45</v>
      </c>
      <c r="CL8" s="359"/>
      <c r="CM8" s="355">
        <v>320017</v>
      </c>
      <c r="CN8" s="355">
        <v>5448</v>
      </c>
      <c r="CO8" s="355">
        <v>807</v>
      </c>
      <c r="CP8" s="355">
        <v>130</v>
      </c>
      <c r="CQ8" s="356">
        <v>156</v>
      </c>
      <c r="CR8" s="357">
        <f t="shared" si="10"/>
        <v>326558</v>
      </c>
      <c r="CS8" s="358">
        <v>12358.41</v>
      </c>
      <c r="CT8" s="490"/>
      <c r="CU8" s="366">
        <v>2918</v>
      </c>
      <c r="CV8" s="366"/>
      <c r="CW8" s="366"/>
      <c r="CX8" s="366"/>
      <c r="CY8" s="366"/>
      <c r="CZ8" s="367">
        <v>2918</v>
      </c>
      <c r="DA8" s="368">
        <v>49.34</v>
      </c>
      <c r="DB8" s="362"/>
      <c r="DC8" s="355">
        <v>8475</v>
      </c>
      <c r="DD8" s="355">
        <v>12622</v>
      </c>
      <c r="DE8" s="355">
        <v>778</v>
      </c>
      <c r="DF8" s="355">
        <v>726</v>
      </c>
      <c r="DG8" s="356">
        <v>1345</v>
      </c>
      <c r="DH8" s="357">
        <f t="shared" si="11"/>
        <v>23946</v>
      </c>
      <c r="DI8" s="361">
        <v>1.05</v>
      </c>
      <c r="DJ8" s="355">
        <v>88</v>
      </c>
      <c r="DK8" s="355">
        <v>37522</v>
      </c>
      <c r="DL8" s="355">
        <v>135</v>
      </c>
      <c r="DM8" s="355">
        <v>39</v>
      </c>
      <c r="DN8" s="355">
        <v>23</v>
      </c>
      <c r="DO8" s="356"/>
      <c r="DP8" s="357">
        <f t="shared" si="12"/>
        <v>37807</v>
      </c>
      <c r="DQ8" s="361">
        <v>1016.38</v>
      </c>
      <c r="DR8" s="362"/>
      <c r="DS8" s="355">
        <v>98008</v>
      </c>
      <c r="DT8" s="355"/>
      <c r="DU8" s="355"/>
      <c r="DV8" s="355"/>
      <c r="DW8" s="356"/>
      <c r="DX8" s="357">
        <f t="shared" si="13"/>
        <v>98008</v>
      </c>
      <c r="DY8" s="361">
        <v>843.93</v>
      </c>
      <c r="DZ8" s="362"/>
      <c r="EA8" s="355">
        <v>25068</v>
      </c>
      <c r="EB8" s="355">
        <v>6</v>
      </c>
      <c r="EC8" s="355"/>
      <c r="ED8" s="355"/>
      <c r="EE8" s="356"/>
      <c r="EF8" s="357">
        <f t="shared" si="14"/>
        <v>25074</v>
      </c>
      <c r="EG8" s="361">
        <v>36973</v>
      </c>
      <c r="EH8" s="362"/>
      <c r="EI8" s="355">
        <v>4218</v>
      </c>
      <c r="EJ8" s="355">
        <v>271</v>
      </c>
      <c r="EK8" s="355">
        <v>9</v>
      </c>
      <c r="EL8" s="355">
        <v>53</v>
      </c>
      <c r="EM8" s="356">
        <v>115</v>
      </c>
      <c r="EN8" s="357">
        <f t="shared" si="15"/>
        <v>4666</v>
      </c>
      <c r="EO8" s="361">
        <v>14.64</v>
      </c>
      <c r="EP8" s="369"/>
      <c r="EQ8" s="355"/>
      <c r="ER8" s="355"/>
      <c r="ES8" s="355"/>
      <c r="ET8" s="355"/>
      <c r="EU8" s="356"/>
      <c r="EV8" s="357">
        <f t="shared" si="16"/>
        <v>0</v>
      </c>
      <c r="EW8" s="361"/>
      <c r="EX8" s="359"/>
      <c r="EY8" s="371">
        <v>50306</v>
      </c>
      <c r="EZ8" s="371">
        <v>375</v>
      </c>
      <c r="FA8" s="371">
        <v>8</v>
      </c>
      <c r="FB8" s="371">
        <v>1</v>
      </c>
      <c r="FC8" s="372"/>
      <c r="FD8" s="373">
        <f t="shared" si="17"/>
        <v>50690</v>
      </c>
      <c r="FE8" s="374">
        <v>1047.51</v>
      </c>
      <c r="FF8" s="375"/>
      <c r="FG8" s="376"/>
      <c r="FH8" s="376"/>
      <c r="FI8" s="376"/>
      <c r="FJ8" s="376">
        <v>12</v>
      </c>
      <c r="FK8" s="377">
        <v>2826</v>
      </c>
      <c r="FL8" s="378">
        <f t="shared" si="18"/>
        <v>2838</v>
      </c>
      <c r="FM8" s="379">
        <v>2035.08</v>
      </c>
      <c r="FN8" s="380"/>
      <c r="FO8" s="381">
        <v>14705</v>
      </c>
      <c r="FP8" s="381">
        <v>699</v>
      </c>
      <c r="FQ8" s="381">
        <v>1081</v>
      </c>
      <c r="FR8" s="381">
        <v>114</v>
      </c>
      <c r="FS8" s="382"/>
      <c r="FT8" s="383">
        <f t="shared" si="19"/>
        <v>16599</v>
      </c>
      <c r="FU8" s="384">
        <v>202.17</v>
      </c>
      <c r="FV8" s="362">
        <v>10</v>
      </c>
      <c r="FW8" s="355">
        <v>39150</v>
      </c>
      <c r="FX8" s="355">
        <v>7</v>
      </c>
      <c r="FY8" s="355">
        <v>1</v>
      </c>
      <c r="FZ8" s="355"/>
      <c r="GA8" s="356"/>
      <c r="GB8" s="357">
        <f t="shared" si="20"/>
        <v>39168</v>
      </c>
      <c r="GC8" s="361">
        <v>806.04</v>
      </c>
      <c r="GD8" s="491"/>
      <c r="GE8" s="381"/>
      <c r="GF8" s="381"/>
      <c r="GG8" s="381"/>
      <c r="GH8" s="381"/>
      <c r="GI8" s="382"/>
      <c r="GJ8" s="383">
        <f t="shared" si="21"/>
        <v>0</v>
      </c>
      <c r="GK8" s="384"/>
    </row>
    <row r="9" spans="1:193" ht="23.25" customHeight="1">
      <c r="A9" s="1675" t="s">
        <v>230</v>
      </c>
      <c r="B9" s="1056">
        <v>6210</v>
      </c>
      <c r="C9" s="352">
        <v>26861</v>
      </c>
      <c r="D9" s="352">
        <v>1239</v>
      </c>
      <c r="E9" s="352">
        <v>1504</v>
      </c>
      <c r="F9" s="352">
        <v>1045</v>
      </c>
      <c r="G9" s="590">
        <v>711</v>
      </c>
      <c r="H9" s="587">
        <f t="shared" si="0"/>
        <v>37570</v>
      </c>
      <c r="I9" s="353">
        <v>679.36</v>
      </c>
      <c r="J9" s="354"/>
      <c r="K9" s="355"/>
      <c r="L9" s="355"/>
      <c r="M9" s="355"/>
      <c r="N9" s="355"/>
      <c r="O9" s="356"/>
      <c r="P9" s="357">
        <f t="shared" si="1"/>
        <v>0</v>
      </c>
      <c r="Q9" s="358"/>
      <c r="R9" s="359"/>
      <c r="S9" s="355">
        <v>259</v>
      </c>
      <c r="T9" s="355">
        <v>1</v>
      </c>
      <c r="U9" s="355">
        <v>4</v>
      </c>
      <c r="V9" s="355"/>
      <c r="W9" s="356"/>
      <c r="X9" s="357">
        <f t="shared" si="2"/>
        <v>264</v>
      </c>
      <c r="Y9" s="358">
        <v>2.39</v>
      </c>
      <c r="Z9" s="360"/>
      <c r="AA9" s="355">
        <v>25663</v>
      </c>
      <c r="AB9" s="355">
        <v>59</v>
      </c>
      <c r="AC9" s="355">
        <v>1</v>
      </c>
      <c r="AD9" s="355">
        <v>3</v>
      </c>
      <c r="AE9" s="356">
        <v>1</v>
      </c>
      <c r="AF9" s="357">
        <f t="shared" si="3"/>
        <v>25727</v>
      </c>
      <c r="AG9" s="361">
        <v>19</v>
      </c>
      <c r="AH9" s="354"/>
      <c r="AI9" s="355"/>
      <c r="AJ9" s="355"/>
      <c r="AK9" s="355"/>
      <c r="AL9" s="355"/>
      <c r="AM9" s="356"/>
      <c r="AN9" s="357">
        <f t="shared" si="4"/>
        <v>0</v>
      </c>
      <c r="AO9" s="358"/>
      <c r="AP9" s="359">
        <v>3947</v>
      </c>
      <c r="AQ9" s="355">
        <v>3562</v>
      </c>
      <c r="AR9" s="355"/>
      <c r="AS9" s="355"/>
      <c r="AT9" s="355"/>
      <c r="AU9" s="356"/>
      <c r="AV9" s="357">
        <f t="shared" si="5"/>
        <v>7509</v>
      </c>
      <c r="AW9" s="358">
        <v>157.89</v>
      </c>
      <c r="AX9" s="359"/>
      <c r="AY9" s="355">
        <v>25</v>
      </c>
      <c r="AZ9" s="355">
        <v>58</v>
      </c>
      <c r="BA9" s="355">
        <v>9</v>
      </c>
      <c r="BB9" s="355"/>
      <c r="BC9" s="356"/>
      <c r="BD9" s="357">
        <f t="shared" si="6"/>
        <v>92</v>
      </c>
      <c r="BE9" s="487"/>
      <c r="BF9" s="388">
        <v>566</v>
      </c>
      <c r="BG9" s="352">
        <v>7</v>
      </c>
      <c r="BH9" s="352"/>
      <c r="BI9" s="352"/>
      <c r="BJ9" s="352"/>
      <c r="BK9" s="590"/>
      <c r="BL9" s="587">
        <f>SUM(BF9:BK9)</f>
        <v>573</v>
      </c>
      <c r="BM9" s="353">
        <v>3.76</v>
      </c>
      <c r="BN9" s="359"/>
      <c r="BO9" s="355">
        <v>3399</v>
      </c>
      <c r="BP9" s="355"/>
      <c r="BQ9" s="355"/>
      <c r="BR9" s="355"/>
      <c r="BS9" s="356"/>
      <c r="BT9" s="357">
        <f t="shared" si="7"/>
        <v>3399</v>
      </c>
      <c r="BU9" s="487">
        <v>2.21</v>
      </c>
      <c r="BV9" s="359"/>
      <c r="BW9" s="355">
        <v>2079</v>
      </c>
      <c r="BX9" s="355">
        <v>9</v>
      </c>
      <c r="BY9" s="355"/>
      <c r="BZ9" s="355"/>
      <c r="CA9" s="356"/>
      <c r="CB9" s="357">
        <f t="shared" si="8"/>
        <v>2088</v>
      </c>
      <c r="CC9" s="487">
        <v>16.24</v>
      </c>
      <c r="CD9" s="359"/>
      <c r="CE9" s="355">
        <v>15779</v>
      </c>
      <c r="CF9" s="355">
        <v>6747</v>
      </c>
      <c r="CG9" s="355">
        <v>5464</v>
      </c>
      <c r="CH9" s="355">
        <v>3547</v>
      </c>
      <c r="CI9" s="356">
        <v>1907</v>
      </c>
      <c r="CJ9" s="365">
        <f t="shared" si="9"/>
        <v>33444</v>
      </c>
      <c r="CK9" s="358">
        <v>505.42</v>
      </c>
      <c r="CL9" s="359"/>
      <c r="CM9" s="355">
        <f>78+19077</f>
        <v>19155</v>
      </c>
      <c r="CN9" s="355">
        <f>19+257</f>
        <v>276</v>
      </c>
      <c r="CO9" s="355">
        <v>21</v>
      </c>
      <c r="CP9" s="355">
        <v>4</v>
      </c>
      <c r="CQ9" s="356">
        <v>1</v>
      </c>
      <c r="CR9" s="357">
        <f t="shared" si="10"/>
        <v>19457</v>
      </c>
      <c r="CS9" s="358">
        <f>4.34+99.31</f>
        <v>103.65</v>
      </c>
      <c r="CT9" s="490"/>
      <c r="CU9" s="366">
        <v>1</v>
      </c>
      <c r="CV9" s="366"/>
      <c r="CW9" s="366"/>
      <c r="CX9" s="366"/>
      <c r="CY9" s="366"/>
      <c r="CZ9" s="367">
        <v>1</v>
      </c>
      <c r="DA9" s="368">
        <v>0.05</v>
      </c>
      <c r="DB9" s="362"/>
      <c r="DC9" s="355">
        <v>102</v>
      </c>
      <c r="DD9" s="355">
        <v>1</v>
      </c>
      <c r="DE9" s="355"/>
      <c r="DF9" s="355"/>
      <c r="DG9" s="356"/>
      <c r="DH9" s="357">
        <f t="shared" si="11"/>
        <v>103</v>
      </c>
      <c r="DI9" s="361">
        <v>0.48</v>
      </c>
      <c r="DJ9" s="355">
        <v>-2</v>
      </c>
      <c r="DK9" s="355">
        <v>2280</v>
      </c>
      <c r="DL9" s="355">
        <v>90</v>
      </c>
      <c r="DM9" s="355">
        <v>31</v>
      </c>
      <c r="DN9" s="355">
        <v>23</v>
      </c>
      <c r="DO9" s="356"/>
      <c r="DP9" s="357">
        <f t="shared" si="12"/>
        <v>2422</v>
      </c>
      <c r="DQ9" s="361">
        <v>74.38</v>
      </c>
      <c r="DR9" s="362"/>
      <c r="DS9" s="355">
        <v>51</v>
      </c>
      <c r="DT9" s="355"/>
      <c r="DU9" s="355"/>
      <c r="DV9" s="355"/>
      <c r="DW9" s="356"/>
      <c r="DX9" s="357">
        <f t="shared" si="13"/>
        <v>51</v>
      </c>
      <c r="DY9" s="361">
        <v>1.78</v>
      </c>
      <c r="DZ9" s="362"/>
      <c r="EA9" s="355">
        <v>23</v>
      </c>
      <c r="EB9" s="355"/>
      <c r="EC9" s="355"/>
      <c r="ED9" s="355"/>
      <c r="EE9" s="356"/>
      <c r="EF9" s="357">
        <f t="shared" si="14"/>
        <v>23</v>
      </c>
      <c r="EG9" s="361">
        <v>249</v>
      </c>
      <c r="EH9" s="362"/>
      <c r="EI9" s="355"/>
      <c r="EJ9" s="355"/>
      <c r="EK9" s="355"/>
      <c r="EL9" s="355"/>
      <c r="EM9" s="356"/>
      <c r="EN9" s="357">
        <f t="shared" si="15"/>
        <v>0</v>
      </c>
      <c r="EO9" s="361"/>
      <c r="EP9" s="369"/>
      <c r="EQ9" s="355"/>
      <c r="ER9" s="355"/>
      <c r="ES9" s="355"/>
      <c r="ET9" s="355"/>
      <c r="EU9" s="356"/>
      <c r="EV9" s="357">
        <f t="shared" si="16"/>
        <v>0</v>
      </c>
      <c r="EW9" s="361"/>
      <c r="EX9" s="389"/>
      <c r="EY9" s="371">
        <v>28884</v>
      </c>
      <c r="EZ9" s="371">
        <v>4079</v>
      </c>
      <c r="FA9" s="371">
        <v>742</v>
      </c>
      <c r="FB9" s="371">
        <v>1266</v>
      </c>
      <c r="FC9" s="372">
        <v>4907</v>
      </c>
      <c r="FD9" s="373">
        <f t="shared" si="17"/>
        <v>39878</v>
      </c>
      <c r="FE9" s="374">
        <v>516.13</v>
      </c>
      <c r="FF9" s="375"/>
      <c r="FG9" s="376"/>
      <c r="FH9" s="376"/>
      <c r="FI9" s="376"/>
      <c r="FJ9" s="376"/>
      <c r="FK9" s="377"/>
      <c r="FL9" s="378"/>
      <c r="FM9" s="379"/>
      <c r="FN9" s="380"/>
      <c r="FO9" s="381">
        <v>1483</v>
      </c>
      <c r="FP9" s="381">
        <v>11</v>
      </c>
      <c r="FQ9" s="381">
        <v>16</v>
      </c>
      <c r="FR9" s="381"/>
      <c r="FS9" s="382"/>
      <c r="FT9" s="383">
        <f t="shared" si="19"/>
        <v>1510</v>
      </c>
      <c r="FU9" s="384">
        <v>46.27</v>
      </c>
      <c r="FV9" s="362">
        <v>183468</v>
      </c>
      <c r="FW9" s="355">
        <v>47609</v>
      </c>
      <c r="FX9" s="355">
        <v>8</v>
      </c>
      <c r="FY9" s="355"/>
      <c r="FZ9" s="355"/>
      <c r="GA9" s="356"/>
      <c r="GB9" s="357">
        <f t="shared" si="20"/>
        <v>231085</v>
      </c>
      <c r="GC9" s="361">
        <v>262.14</v>
      </c>
      <c r="GD9" s="491"/>
      <c r="GE9" s="381"/>
      <c r="GF9" s="381"/>
      <c r="GG9" s="381"/>
      <c r="GH9" s="381"/>
      <c r="GI9" s="382"/>
      <c r="GJ9" s="383">
        <f t="shared" si="21"/>
        <v>0</v>
      </c>
      <c r="GK9" s="384"/>
    </row>
    <row r="10" spans="1:193" ht="23.25" customHeight="1">
      <c r="A10" s="1676"/>
      <c r="B10" s="1056"/>
      <c r="C10" s="390"/>
      <c r="D10" s="390"/>
      <c r="E10" s="390"/>
      <c r="F10" s="390"/>
      <c r="G10" s="591"/>
      <c r="H10" s="587"/>
      <c r="I10" s="391"/>
      <c r="J10" s="387"/>
      <c r="K10" s="392"/>
      <c r="L10" s="392"/>
      <c r="M10" s="392"/>
      <c r="N10" s="392"/>
      <c r="O10" s="393"/>
      <c r="P10" s="394">
        <f t="shared" si="1"/>
        <v>0</v>
      </c>
      <c r="Q10" s="395"/>
      <c r="R10" s="396"/>
      <c r="S10" s="392"/>
      <c r="T10" s="392"/>
      <c r="U10" s="392"/>
      <c r="V10" s="392"/>
      <c r="W10" s="393"/>
      <c r="X10" s="394">
        <f t="shared" si="2"/>
        <v>0</v>
      </c>
      <c r="Y10" s="395"/>
      <c r="Z10" s="385"/>
      <c r="AA10" s="392"/>
      <c r="AB10" s="392"/>
      <c r="AC10" s="392"/>
      <c r="AD10" s="392"/>
      <c r="AE10" s="393"/>
      <c r="AF10" s="394">
        <f t="shared" si="3"/>
        <v>0</v>
      </c>
      <c r="AG10" s="386"/>
      <c r="AH10" s="387"/>
      <c r="AI10" s="392"/>
      <c r="AJ10" s="392"/>
      <c r="AK10" s="392"/>
      <c r="AL10" s="392"/>
      <c r="AM10" s="393"/>
      <c r="AN10" s="394">
        <f t="shared" si="4"/>
        <v>0</v>
      </c>
      <c r="AO10" s="395"/>
      <c r="AP10" s="396"/>
      <c r="AQ10" s="392"/>
      <c r="AR10" s="392"/>
      <c r="AS10" s="392"/>
      <c r="AT10" s="392"/>
      <c r="AU10" s="393"/>
      <c r="AV10" s="394">
        <f t="shared" si="5"/>
        <v>0</v>
      </c>
      <c r="AW10" s="395"/>
      <c r="AX10" s="396"/>
      <c r="AY10" s="392"/>
      <c r="AZ10" s="392"/>
      <c r="BA10" s="392"/>
      <c r="BB10" s="392"/>
      <c r="BC10" s="393"/>
      <c r="BD10" s="394">
        <f t="shared" si="6"/>
        <v>0</v>
      </c>
      <c r="BE10" s="488"/>
      <c r="BF10" s="388"/>
      <c r="BG10" s="390"/>
      <c r="BH10" s="390"/>
      <c r="BI10" s="390"/>
      <c r="BJ10" s="390"/>
      <c r="BK10" s="591"/>
      <c r="BL10" s="587"/>
      <c r="BM10" s="391"/>
      <c r="BN10" s="396"/>
      <c r="BO10" s="392"/>
      <c r="BP10" s="392"/>
      <c r="BQ10" s="392"/>
      <c r="BR10" s="392"/>
      <c r="BS10" s="393"/>
      <c r="BT10" s="394">
        <f t="shared" si="7"/>
        <v>0</v>
      </c>
      <c r="BU10" s="488"/>
      <c r="BV10" s="396"/>
      <c r="BW10" s="392"/>
      <c r="BX10" s="392"/>
      <c r="BY10" s="392"/>
      <c r="BZ10" s="392"/>
      <c r="CA10" s="393"/>
      <c r="CB10" s="394">
        <f t="shared" si="8"/>
        <v>0</v>
      </c>
      <c r="CC10" s="488"/>
      <c r="CD10" s="396"/>
      <c r="CE10" s="392"/>
      <c r="CF10" s="392"/>
      <c r="CG10" s="392"/>
      <c r="CH10" s="392"/>
      <c r="CI10" s="393"/>
      <c r="CJ10" s="365">
        <f t="shared" si="9"/>
        <v>0</v>
      </c>
      <c r="CK10" s="395"/>
      <c r="CL10" s="396"/>
      <c r="CM10" s="392"/>
      <c r="CN10" s="392"/>
      <c r="CO10" s="392"/>
      <c r="CP10" s="392"/>
      <c r="CQ10" s="393"/>
      <c r="CR10" s="394">
        <f t="shared" si="10"/>
        <v>0</v>
      </c>
      <c r="CS10" s="395"/>
      <c r="CT10" s="490"/>
      <c r="CU10" s="366"/>
      <c r="CV10" s="366"/>
      <c r="CW10" s="366"/>
      <c r="CX10" s="366"/>
      <c r="CY10" s="366"/>
      <c r="CZ10" s="367"/>
      <c r="DA10" s="368"/>
      <c r="DB10" s="397"/>
      <c r="DC10" s="392"/>
      <c r="DD10" s="392"/>
      <c r="DE10" s="392"/>
      <c r="DF10" s="392"/>
      <c r="DG10" s="393"/>
      <c r="DH10" s="394">
        <f t="shared" si="11"/>
        <v>0</v>
      </c>
      <c r="DI10" s="386"/>
      <c r="DJ10" s="398"/>
      <c r="DK10" s="399"/>
      <c r="DL10" s="399"/>
      <c r="DM10" s="399"/>
      <c r="DN10" s="399"/>
      <c r="DO10" s="400"/>
      <c r="DP10" s="401">
        <f t="shared" si="12"/>
        <v>0</v>
      </c>
      <c r="DQ10" s="402"/>
      <c r="DR10" s="397"/>
      <c r="DS10" s="392"/>
      <c r="DT10" s="392"/>
      <c r="DU10" s="392"/>
      <c r="DV10" s="392"/>
      <c r="DW10" s="393"/>
      <c r="DX10" s="394"/>
      <c r="DY10" s="386"/>
      <c r="DZ10" s="397"/>
      <c r="EA10" s="392"/>
      <c r="EB10" s="392"/>
      <c r="EC10" s="392"/>
      <c r="ED10" s="392"/>
      <c r="EE10" s="393"/>
      <c r="EF10" s="394"/>
      <c r="EG10" s="386"/>
      <c r="EH10" s="397"/>
      <c r="EI10" s="392"/>
      <c r="EJ10" s="392"/>
      <c r="EK10" s="392"/>
      <c r="EL10" s="392"/>
      <c r="EM10" s="393"/>
      <c r="EN10" s="394"/>
      <c r="EO10" s="386"/>
      <c r="EP10" s="369"/>
      <c r="EQ10" s="355"/>
      <c r="ER10" s="355"/>
      <c r="ES10" s="355"/>
      <c r="ET10" s="355"/>
      <c r="EU10" s="356"/>
      <c r="EV10" s="357"/>
      <c r="EW10" s="361"/>
      <c r="EX10" s="359"/>
      <c r="EY10" s="355"/>
      <c r="EZ10" s="355"/>
      <c r="FA10" s="355"/>
      <c r="FB10" s="355"/>
      <c r="FC10" s="356"/>
      <c r="FD10" s="373">
        <f t="shared" si="17"/>
        <v>0</v>
      </c>
      <c r="FE10" s="374"/>
      <c r="FF10" s="375"/>
      <c r="FG10" s="376"/>
      <c r="FH10" s="376"/>
      <c r="FI10" s="376"/>
      <c r="FJ10" s="376"/>
      <c r="FK10" s="377"/>
      <c r="FL10" s="378"/>
      <c r="FM10" s="379"/>
      <c r="FN10" s="380"/>
      <c r="FO10" s="381"/>
      <c r="FP10" s="381"/>
      <c r="FQ10" s="381"/>
      <c r="FR10" s="381"/>
      <c r="FS10" s="382"/>
      <c r="FT10" s="383"/>
      <c r="FU10" s="384"/>
      <c r="FV10" s="397"/>
      <c r="FW10" s="392"/>
      <c r="FX10" s="392"/>
      <c r="FY10" s="392"/>
      <c r="FZ10" s="392"/>
      <c r="GA10" s="393"/>
      <c r="GB10" s="394"/>
      <c r="GC10" s="386"/>
      <c r="GD10" s="396"/>
      <c r="GE10" s="392"/>
      <c r="GF10" s="392"/>
      <c r="GG10" s="392"/>
      <c r="GH10" s="392"/>
      <c r="GI10" s="393"/>
      <c r="GJ10" s="394"/>
      <c r="GK10" s="386"/>
    </row>
    <row r="11" spans="1:193" ht="23.25" customHeight="1">
      <c r="A11" s="1675" t="s">
        <v>231</v>
      </c>
      <c r="B11" s="1056"/>
      <c r="C11" s="352">
        <v>10519</v>
      </c>
      <c r="D11" s="589"/>
      <c r="E11" s="352"/>
      <c r="F11" s="352"/>
      <c r="G11" s="590"/>
      <c r="H11" s="587">
        <f t="shared" si="0"/>
        <v>10519</v>
      </c>
      <c r="I11" s="353">
        <v>233.96</v>
      </c>
      <c r="J11" s="354"/>
      <c r="K11" s="355"/>
      <c r="L11" s="355"/>
      <c r="M11" s="355"/>
      <c r="N11" s="355"/>
      <c r="O11" s="356"/>
      <c r="P11" s="357">
        <f t="shared" si="1"/>
        <v>0</v>
      </c>
      <c r="Q11" s="358"/>
      <c r="R11" s="359"/>
      <c r="S11" s="355">
        <v>50</v>
      </c>
      <c r="T11" s="355"/>
      <c r="U11" s="355"/>
      <c r="V11" s="355"/>
      <c r="W11" s="356"/>
      <c r="X11" s="357">
        <f t="shared" si="2"/>
        <v>50</v>
      </c>
      <c r="Y11" s="358">
        <v>6.67</v>
      </c>
      <c r="Z11" s="360"/>
      <c r="AA11" s="355">
        <v>173995</v>
      </c>
      <c r="AB11" s="355">
        <v>3269</v>
      </c>
      <c r="AC11" s="355">
        <v>557</v>
      </c>
      <c r="AD11" s="355">
        <v>93</v>
      </c>
      <c r="AE11" s="356"/>
      <c r="AF11" s="357">
        <f t="shared" si="3"/>
        <v>177914</v>
      </c>
      <c r="AG11" s="361">
        <v>904</v>
      </c>
      <c r="AH11" s="354"/>
      <c r="AI11" s="355">
        <v>110</v>
      </c>
      <c r="AJ11" s="355"/>
      <c r="AK11" s="355"/>
      <c r="AL11" s="355"/>
      <c r="AM11" s="356"/>
      <c r="AN11" s="357">
        <f t="shared" si="4"/>
        <v>110</v>
      </c>
      <c r="AO11" s="358">
        <v>12.59</v>
      </c>
      <c r="AP11" s="359"/>
      <c r="AQ11" s="355">
        <v>1030</v>
      </c>
      <c r="AR11" s="355"/>
      <c r="AS11" s="355"/>
      <c r="AT11" s="355"/>
      <c r="AU11" s="356"/>
      <c r="AV11" s="357">
        <f t="shared" si="5"/>
        <v>1030</v>
      </c>
      <c r="AW11" s="358">
        <v>25.61</v>
      </c>
      <c r="AX11" s="359">
        <v>6507</v>
      </c>
      <c r="AY11" s="355">
        <v>38169</v>
      </c>
      <c r="AZ11" s="355">
        <v>25475</v>
      </c>
      <c r="BA11" s="355">
        <v>1565</v>
      </c>
      <c r="BB11" s="355">
        <v>143</v>
      </c>
      <c r="BC11" s="356">
        <v>25</v>
      </c>
      <c r="BD11" s="357">
        <f t="shared" si="6"/>
        <v>71884</v>
      </c>
      <c r="BE11" s="487"/>
      <c r="BF11" s="388"/>
      <c r="BG11" s="352">
        <v>161</v>
      </c>
      <c r="BH11" s="589"/>
      <c r="BI11" s="352"/>
      <c r="BJ11" s="352"/>
      <c r="BK11" s="590"/>
      <c r="BL11" s="587">
        <f>SUM(BF11:BK11)</f>
        <v>161</v>
      </c>
      <c r="BM11" s="353">
        <v>8.68</v>
      </c>
      <c r="BN11" s="359"/>
      <c r="BO11" s="355">
        <v>7980</v>
      </c>
      <c r="BP11" s="355"/>
      <c r="BQ11" s="355"/>
      <c r="BR11" s="355"/>
      <c r="BS11" s="356"/>
      <c r="BT11" s="357">
        <f t="shared" si="7"/>
        <v>7980</v>
      </c>
      <c r="BU11" s="487">
        <v>124.75</v>
      </c>
      <c r="BV11" s="359"/>
      <c r="BW11" s="355">
        <v>389</v>
      </c>
      <c r="BX11" s="355"/>
      <c r="BY11" s="355"/>
      <c r="BZ11" s="355"/>
      <c r="CA11" s="356"/>
      <c r="CB11" s="357">
        <f t="shared" si="8"/>
        <v>389</v>
      </c>
      <c r="CC11" s="487">
        <v>24.61</v>
      </c>
      <c r="CD11" s="359"/>
      <c r="CE11" s="355">
        <v>70800</v>
      </c>
      <c r="CF11" s="355">
        <v>5</v>
      </c>
      <c r="CG11" s="355"/>
      <c r="CH11" s="355"/>
      <c r="CI11" s="356"/>
      <c r="CJ11" s="365">
        <f t="shared" si="9"/>
        <v>70805</v>
      </c>
      <c r="CK11" s="358">
        <v>445.8</v>
      </c>
      <c r="CL11" s="359"/>
      <c r="CM11" s="355">
        <v>94474</v>
      </c>
      <c r="CN11" s="355">
        <v>1087</v>
      </c>
      <c r="CO11" s="355">
        <v>241</v>
      </c>
      <c r="CP11" s="355">
        <v>30</v>
      </c>
      <c r="CQ11" s="356">
        <v>1</v>
      </c>
      <c r="CR11" s="357">
        <f t="shared" si="10"/>
        <v>95833</v>
      </c>
      <c r="CS11" s="358">
        <v>529.07</v>
      </c>
      <c r="CT11" s="362"/>
      <c r="CU11" s="355">
        <v>111</v>
      </c>
      <c r="CV11" s="355">
        <v>2</v>
      </c>
      <c r="CW11" s="355"/>
      <c r="CX11" s="355"/>
      <c r="CY11" s="355"/>
      <c r="CZ11" s="403">
        <v>113</v>
      </c>
      <c r="DA11" s="361">
        <v>3.21</v>
      </c>
      <c r="DB11" s="362"/>
      <c r="DC11" s="355">
        <v>3174</v>
      </c>
      <c r="DD11" s="355">
        <v>102</v>
      </c>
      <c r="DE11" s="355">
        <v>1</v>
      </c>
      <c r="DF11" s="355"/>
      <c r="DG11" s="356"/>
      <c r="DH11" s="357">
        <f t="shared" si="11"/>
        <v>3277</v>
      </c>
      <c r="DI11" s="361">
        <v>75.15</v>
      </c>
      <c r="DJ11" s="362"/>
      <c r="DK11" s="355">
        <v>72211</v>
      </c>
      <c r="DL11" s="355">
        <v>108</v>
      </c>
      <c r="DM11" s="355">
        <v>10</v>
      </c>
      <c r="DN11" s="355">
        <v>5</v>
      </c>
      <c r="DO11" s="356"/>
      <c r="DP11" s="357">
        <f t="shared" si="12"/>
        <v>72334</v>
      </c>
      <c r="DQ11" s="361">
        <v>632.92</v>
      </c>
      <c r="DR11" s="362"/>
      <c r="DS11" s="355">
        <v>3849</v>
      </c>
      <c r="DT11" s="355"/>
      <c r="DU11" s="355"/>
      <c r="DV11" s="355"/>
      <c r="DW11" s="356"/>
      <c r="DX11" s="357">
        <f t="shared" si="13"/>
        <v>3849</v>
      </c>
      <c r="DY11" s="361">
        <v>75.65</v>
      </c>
      <c r="DZ11" s="362"/>
      <c r="EA11" s="355">
        <v>2312</v>
      </c>
      <c r="EB11" s="355"/>
      <c r="EC11" s="355">
        <v>1</v>
      </c>
      <c r="ED11" s="355"/>
      <c r="EE11" s="356"/>
      <c r="EF11" s="357">
        <f t="shared" si="14"/>
        <v>2313</v>
      </c>
      <c r="EG11" s="361">
        <v>6637</v>
      </c>
      <c r="EH11" s="362"/>
      <c r="EI11" s="355">
        <v>460</v>
      </c>
      <c r="EJ11" s="355">
        <v>13</v>
      </c>
      <c r="EK11" s="355">
        <v>5</v>
      </c>
      <c r="EL11" s="355">
        <v>9</v>
      </c>
      <c r="EM11" s="356"/>
      <c r="EN11" s="357">
        <f t="shared" si="15"/>
        <v>487</v>
      </c>
      <c r="EO11" s="361">
        <v>4.85</v>
      </c>
      <c r="EP11" s="369"/>
      <c r="EQ11" s="355"/>
      <c r="ER11" s="355"/>
      <c r="ES11" s="355"/>
      <c r="ET11" s="355"/>
      <c r="EU11" s="356"/>
      <c r="EV11" s="357">
        <f t="shared" si="16"/>
        <v>0</v>
      </c>
      <c r="EW11" s="361"/>
      <c r="EX11" s="370"/>
      <c r="EY11" s="371">
        <v>6926</v>
      </c>
      <c r="EZ11" s="371">
        <v>2</v>
      </c>
      <c r="FA11" s="371"/>
      <c r="FB11" s="371"/>
      <c r="FC11" s="372"/>
      <c r="FD11" s="373">
        <f t="shared" si="17"/>
        <v>6928</v>
      </c>
      <c r="FE11" s="374">
        <v>244.46</v>
      </c>
      <c r="FF11" s="375"/>
      <c r="FG11" s="376">
        <v>4842</v>
      </c>
      <c r="FH11" s="376"/>
      <c r="FI11" s="376"/>
      <c r="FJ11" s="376"/>
      <c r="FK11" s="377"/>
      <c r="FL11" s="378">
        <f t="shared" si="18"/>
        <v>4842</v>
      </c>
      <c r="FM11" s="379">
        <v>4842.75</v>
      </c>
      <c r="FN11" s="380"/>
      <c r="FO11" s="381">
        <v>1437</v>
      </c>
      <c r="FP11" s="381">
        <v>289</v>
      </c>
      <c r="FQ11" s="381">
        <v>5</v>
      </c>
      <c r="FR11" s="381"/>
      <c r="FS11" s="382"/>
      <c r="FT11" s="383">
        <f t="shared" si="19"/>
        <v>1731</v>
      </c>
      <c r="FU11" s="384">
        <v>39.33</v>
      </c>
      <c r="FV11" s="362"/>
      <c r="FW11" s="355">
        <v>527</v>
      </c>
      <c r="FX11" s="355"/>
      <c r="FY11" s="355"/>
      <c r="FZ11" s="355"/>
      <c r="GA11" s="356"/>
      <c r="GB11" s="357">
        <f t="shared" si="20"/>
        <v>527</v>
      </c>
      <c r="GC11" s="361">
        <v>126.94</v>
      </c>
      <c r="GD11" s="491"/>
      <c r="GE11" s="381"/>
      <c r="GF11" s="381"/>
      <c r="GG11" s="381"/>
      <c r="GH11" s="381"/>
      <c r="GI11" s="382"/>
      <c r="GJ11" s="383">
        <f t="shared" si="21"/>
        <v>0</v>
      </c>
      <c r="GK11" s="384"/>
    </row>
    <row r="12" spans="1:193" ht="23.25" customHeight="1" thickBot="1">
      <c r="A12" s="1677" t="s">
        <v>232</v>
      </c>
      <c r="B12" s="1057"/>
      <c r="C12" s="405">
        <v>5029</v>
      </c>
      <c r="D12" s="405">
        <v>5</v>
      </c>
      <c r="E12" s="405">
        <v>1</v>
      </c>
      <c r="F12" s="405"/>
      <c r="G12" s="592"/>
      <c r="H12" s="588">
        <f t="shared" si="0"/>
        <v>5035</v>
      </c>
      <c r="I12" s="406">
        <v>342.89</v>
      </c>
      <c r="J12" s="407"/>
      <c r="K12" s="408"/>
      <c r="L12" s="408"/>
      <c r="M12" s="408"/>
      <c r="N12" s="408"/>
      <c r="O12" s="409"/>
      <c r="P12" s="410">
        <f t="shared" si="1"/>
        <v>0</v>
      </c>
      <c r="Q12" s="411"/>
      <c r="R12" s="412"/>
      <c r="S12" s="408">
        <v>91</v>
      </c>
      <c r="T12" s="408"/>
      <c r="U12" s="408"/>
      <c r="V12" s="408"/>
      <c r="W12" s="409"/>
      <c r="X12" s="410">
        <f t="shared" si="2"/>
        <v>91</v>
      </c>
      <c r="Y12" s="411">
        <v>16.49</v>
      </c>
      <c r="Z12" s="413"/>
      <c r="AA12" s="408">
        <v>11283</v>
      </c>
      <c r="AB12" s="408">
        <v>601</v>
      </c>
      <c r="AC12" s="408">
        <v>3</v>
      </c>
      <c r="AD12" s="408"/>
      <c r="AE12" s="409"/>
      <c r="AF12" s="410">
        <f t="shared" si="3"/>
        <v>11887</v>
      </c>
      <c r="AG12" s="414">
        <v>311</v>
      </c>
      <c r="AH12" s="407"/>
      <c r="AI12" s="408">
        <v>387</v>
      </c>
      <c r="AJ12" s="408"/>
      <c r="AK12" s="408"/>
      <c r="AL12" s="408"/>
      <c r="AM12" s="409"/>
      <c r="AN12" s="410">
        <f t="shared" si="4"/>
        <v>387</v>
      </c>
      <c r="AO12" s="411">
        <v>17.06</v>
      </c>
      <c r="AP12" s="412"/>
      <c r="AQ12" s="408">
        <v>420</v>
      </c>
      <c r="AR12" s="408"/>
      <c r="AS12" s="408"/>
      <c r="AT12" s="408"/>
      <c r="AU12" s="409"/>
      <c r="AV12" s="410">
        <f t="shared" si="5"/>
        <v>420</v>
      </c>
      <c r="AW12" s="411">
        <v>42.18</v>
      </c>
      <c r="AX12" s="412"/>
      <c r="AY12" s="408">
        <v>515</v>
      </c>
      <c r="AZ12" s="408">
        <v>40</v>
      </c>
      <c r="BA12" s="408">
        <v>5</v>
      </c>
      <c r="BB12" s="408"/>
      <c r="BC12" s="409"/>
      <c r="BD12" s="410">
        <f t="shared" si="6"/>
        <v>560</v>
      </c>
      <c r="BE12" s="489"/>
      <c r="BF12" s="404"/>
      <c r="BG12" s="405">
        <v>80</v>
      </c>
      <c r="BH12" s="405"/>
      <c r="BI12" s="405"/>
      <c r="BJ12" s="405"/>
      <c r="BK12" s="592"/>
      <c r="BL12" s="588">
        <f>SUM(BF12:BK12)</f>
        <v>80</v>
      </c>
      <c r="BM12" s="406">
        <v>80</v>
      </c>
      <c r="BN12" s="412"/>
      <c r="BO12" s="408">
        <v>2893</v>
      </c>
      <c r="BP12" s="408">
        <v>508</v>
      </c>
      <c r="BQ12" s="408">
        <v>3</v>
      </c>
      <c r="BR12" s="408"/>
      <c r="BS12" s="409"/>
      <c r="BT12" s="410">
        <f t="shared" si="7"/>
        <v>3404</v>
      </c>
      <c r="BU12" s="489">
        <v>88.95</v>
      </c>
      <c r="BV12" s="412"/>
      <c r="BW12" s="408">
        <v>323</v>
      </c>
      <c r="BX12" s="408"/>
      <c r="BY12" s="408"/>
      <c r="BZ12" s="408"/>
      <c r="CA12" s="409"/>
      <c r="CB12" s="410">
        <f t="shared" si="8"/>
        <v>323</v>
      </c>
      <c r="CC12" s="489">
        <v>14.74</v>
      </c>
      <c r="CD12" s="412"/>
      <c r="CE12" s="408">
        <v>3009</v>
      </c>
      <c r="CF12" s="408">
        <v>158</v>
      </c>
      <c r="CG12" s="408">
        <v>19</v>
      </c>
      <c r="CH12" s="408"/>
      <c r="CI12" s="409"/>
      <c r="CJ12" s="416">
        <f t="shared" si="9"/>
        <v>3186</v>
      </c>
      <c r="CK12" s="411">
        <v>191.45</v>
      </c>
      <c r="CL12" s="412"/>
      <c r="CM12" s="408">
        <v>10378</v>
      </c>
      <c r="CN12" s="408">
        <v>745</v>
      </c>
      <c r="CO12" s="408">
        <v>74</v>
      </c>
      <c r="CP12" s="408">
        <v>6</v>
      </c>
      <c r="CQ12" s="409">
        <v>12</v>
      </c>
      <c r="CR12" s="410">
        <f t="shared" si="10"/>
        <v>11215</v>
      </c>
      <c r="CS12" s="411">
        <v>1023.98</v>
      </c>
      <c r="CT12" s="415"/>
      <c r="CU12" s="408">
        <v>394</v>
      </c>
      <c r="CV12" s="408">
        <v>3</v>
      </c>
      <c r="CW12" s="408"/>
      <c r="CX12" s="408"/>
      <c r="CY12" s="408"/>
      <c r="CZ12" s="417">
        <v>397</v>
      </c>
      <c r="DA12" s="414">
        <v>16.5</v>
      </c>
      <c r="DB12" s="415"/>
      <c r="DC12" s="408">
        <v>600</v>
      </c>
      <c r="DD12" s="408">
        <v>22</v>
      </c>
      <c r="DE12" s="408">
        <v>7</v>
      </c>
      <c r="DF12" s="408"/>
      <c r="DG12" s="409"/>
      <c r="DH12" s="410">
        <f t="shared" si="11"/>
        <v>629</v>
      </c>
      <c r="DI12" s="414">
        <v>22.29</v>
      </c>
      <c r="DJ12" s="415"/>
      <c r="DK12" s="408">
        <v>3193</v>
      </c>
      <c r="DL12" s="408">
        <v>28</v>
      </c>
      <c r="DM12" s="408">
        <v>3</v>
      </c>
      <c r="DN12" s="408"/>
      <c r="DO12" s="409">
        <v>1</v>
      </c>
      <c r="DP12" s="410">
        <f t="shared" si="12"/>
        <v>3225</v>
      </c>
      <c r="DQ12" s="414">
        <v>1701.14</v>
      </c>
      <c r="DR12" s="415"/>
      <c r="DS12" s="408">
        <v>4157</v>
      </c>
      <c r="DT12" s="408">
        <v>7</v>
      </c>
      <c r="DU12" s="408"/>
      <c r="DV12" s="408"/>
      <c r="DW12" s="409"/>
      <c r="DX12" s="410">
        <f t="shared" si="13"/>
        <v>4164</v>
      </c>
      <c r="DY12" s="414">
        <v>167.49</v>
      </c>
      <c r="DZ12" s="415"/>
      <c r="EA12" s="408">
        <v>1059</v>
      </c>
      <c r="EB12" s="408"/>
      <c r="EC12" s="408"/>
      <c r="ED12" s="408"/>
      <c r="EE12" s="409"/>
      <c r="EF12" s="410">
        <f t="shared" si="14"/>
        <v>1059</v>
      </c>
      <c r="EG12" s="414">
        <v>6594</v>
      </c>
      <c r="EH12" s="415"/>
      <c r="EI12" s="408"/>
      <c r="EJ12" s="408"/>
      <c r="EK12" s="408"/>
      <c r="EL12" s="408"/>
      <c r="EM12" s="409"/>
      <c r="EN12" s="410">
        <f t="shared" si="15"/>
        <v>0</v>
      </c>
      <c r="EO12" s="414"/>
      <c r="EP12" s="418"/>
      <c r="EQ12" s="408"/>
      <c r="ER12" s="408"/>
      <c r="ES12" s="408"/>
      <c r="ET12" s="408"/>
      <c r="EU12" s="409"/>
      <c r="EV12" s="410">
        <f t="shared" si="16"/>
        <v>0</v>
      </c>
      <c r="EW12" s="414"/>
      <c r="EX12" s="419"/>
      <c r="EY12" s="420">
        <v>5222</v>
      </c>
      <c r="EZ12" s="420">
        <v>56</v>
      </c>
      <c r="FA12" s="420"/>
      <c r="FB12" s="420"/>
      <c r="FC12" s="421"/>
      <c r="FD12" s="422">
        <f t="shared" si="17"/>
        <v>5278</v>
      </c>
      <c r="FE12" s="423">
        <v>225.33</v>
      </c>
      <c r="FF12" s="424"/>
      <c r="FG12" s="425">
        <v>915</v>
      </c>
      <c r="FH12" s="425">
        <v>4</v>
      </c>
      <c r="FI12" s="425">
        <v>2</v>
      </c>
      <c r="FJ12" s="425"/>
      <c r="FK12" s="426"/>
      <c r="FL12" s="427">
        <f t="shared" si="18"/>
        <v>921</v>
      </c>
      <c r="FM12" s="428">
        <v>2470.86</v>
      </c>
      <c r="FN12" s="429"/>
      <c r="FO12" s="430">
        <v>291</v>
      </c>
      <c r="FP12" s="430">
        <v>70</v>
      </c>
      <c r="FQ12" s="430">
        <v>9</v>
      </c>
      <c r="FR12" s="430">
        <v>1</v>
      </c>
      <c r="FS12" s="431"/>
      <c r="FT12" s="432">
        <f t="shared" si="19"/>
        <v>371</v>
      </c>
      <c r="FU12" s="433">
        <v>18.81</v>
      </c>
      <c r="FV12" s="415"/>
      <c r="FW12" s="408">
        <v>2954</v>
      </c>
      <c r="FX12" s="408"/>
      <c r="FY12" s="408"/>
      <c r="FZ12" s="408"/>
      <c r="GA12" s="409"/>
      <c r="GB12" s="410">
        <f t="shared" si="20"/>
        <v>2954</v>
      </c>
      <c r="GC12" s="414">
        <v>222.41</v>
      </c>
      <c r="GD12" s="492"/>
      <c r="GE12" s="430"/>
      <c r="GF12" s="430"/>
      <c r="GG12" s="430"/>
      <c r="GH12" s="430"/>
      <c r="GI12" s="431"/>
      <c r="GJ12" s="432">
        <f t="shared" si="21"/>
        <v>0</v>
      </c>
      <c r="GK12" s="433"/>
    </row>
  </sheetData>
  <sheetProtection/>
  <mergeCells count="25">
    <mergeCell ref="GD3:GK3"/>
    <mergeCell ref="DZ3:EG3"/>
    <mergeCell ref="EH3:EO3"/>
    <mergeCell ref="EX3:FE3"/>
    <mergeCell ref="FF3:FM3"/>
    <mergeCell ref="FN3:FU3"/>
    <mergeCell ref="FV3:GC3"/>
    <mergeCell ref="EP3:EW3"/>
    <mergeCell ref="DB3:DI3"/>
    <mergeCell ref="CT3:DA3"/>
    <mergeCell ref="DJ3:DQ3"/>
    <mergeCell ref="DR3:DY3"/>
    <mergeCell ref="AH3:AO3"/>
    <mergeCell ref="AP3:AW3"/>
    <mergeCell ref="AX3:BE3"/>
    <mergeCell ref="BF3:BM3"/>
    <mergeCell ref="BN3:BU3"/>
    <mergeCell ref="BV3:CC3"/>
    <mergeCell ref="CD3:CK3"/>
    <mergeCell ref="CL3:CS3"/>
    <mergeCell ref="A3:A4"/>
    <mergeCell ref="B3:I3"/>
    <mergeCell ref="J3:Q3"/>
    <mergeCell ref="R3:Y3"/>
    <mergeCell ref="Z3:AG3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EO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V8" sqref="CV8"/>
    </sheetView>
  </sheetViews>
  <sheetFormatPr defaultColWidth="9.140625" defaultRowHeight="15"/>
  <cols>
    <col min="1" max="1" width="55.8515625" style="147" customWidth="1"/>
    <col min="2" max="2" width="9.57421875" style="147" bestFit="1" customWidth="1"/>
    <col min="3" max="3" width="11.8515625" style="147" bestFit="1" customWidth="1"/>
    <col min="4" max="4" width="14.421875" style="147" bestFit="1" customWidth="1"/>
    <col min="5" max="5" width="19.421875" style="147" bestFit="1" customWidth="1"/>
    <col min="6" max="6" width="12.8515625" style="147" bestFit="1" customWidth="1"/>
    <col min="7" max="7" width="14.8515625" style="147" bestFit="1" customWidth="1"/>
    <col min="8" max="8" width="9.57421875" style="147" bestFit="1" customWidth="1"/>
    <col min="9" max="9" width="11.8515625" style="147" bestFit="1" customWidth="1"/>
    <col min="10" max="10" width="14.421875" style="147" bestFit="1" customWidth="1"/>
    <col min="11" max="11" width="19.421875" style="147" bestFit="1" customWidth="1"/>
    <col min="12" max="12" width="12.8515625" style="147" bestFit="1" customWidth="1"/>
    <col min="13" max="13" width="14.8515625" style="147" bestFit="1" customWidth="1"/>
    <col min="14" max="14" width="9.57421875" style="147" bestFit="1" customWidth="1"/>
    <col min="15" max="15" width="11.8515625" style="147" bestFit="1" customWidth="1"/>
    <col min="16" max="16" width="14.421875" style="147" bestFit="1" customWidth="1"/>
    <col min="17" max="17" width="19.421875" style="147" bestFit="1" customWidth="1"/>
    <col min="18" max="18" width="12.8515625" style="147" bestFit="1" customWidth="1"/>
    <col min="19" max="19" width="14.8515625" style="147" bestFit="1" customWidth="1"/>
    <col min="20" max="20" width="9.57421875" style="147" bestFit="1" customWidth="1"/>
    <col min="21" max="21" width="11.8515625" style="147" bestFit="1" customWidth="1"/>
    <col min="22" max="22" width="14.421875" style="147" bestFit="1" customWidth="1"/>
    <col min="23" max="23" width="19.421875" style="147" bestFit="1" customWidth="1"/>
    <col min="24" max="24" width="12.8515625" style="147" bestFit="1" customWidth="1"/>
    <col min="25" max="25" width="14.8515625" style="147" bestFit="1" customWidth="1"/>
    <col min="26" max="26" width="9.57421875" style="147" bestFit="1" customWidth="1"/>
    <col min="27" max="27" width="11.8515625" style="147" bestFit="1" customWidth="1"/>
    <col min="28" max="28" width="14.421875" style="147" bestFit="1" customWidth="1"/>
    <col min="29" max="29" width="19.421875" style="147" bestFit="1" customWidth="1"/>
    <col min="30" max="30" width="12.8515625" style="147" bestFit="1" customWidth="1"/>
    <col min="31" max="31" width="14.8515625" style="147" bestFit="1" customWidth="1"/>
    <col min="32" max="32" width="9.57421875" style="147" bestFit="1" customWidth="1"/>
    <col min="33" max="33" width="11.8515625" style="147" bestFit="1" customWidth="1"/>
    <col min="34" max="34" width="14.421875" style="147" bestFit="1" customWidth="1"/>
    <col min="35" max="35" width="19.421875" style="147" bestFit="1" customWidth="1"/>
    <col min="36" max="36" width="12.8515625" style="147" bestFit="1" customWidth="1"/>
    <col min="37" max="37" width="14.8515625" style="147" bestFit="1" customWidth="1"/>
    <col min="38" max="38" width="9.57421875" style="147" bestFit="1" customWidth="1"/>
    <col min="39" max="39" width="11.8515625" style="147" bestFit="1" customWidth="1"/>
    <col min="40" max="40" width="14.421875" style="147" bestFit="1" customWidth="1"/>
    <col min="41" max="41" width="19.421875" style="147" bestFit="1" customWidth="1"/>
    <col min="42" max="42" width="12.8515625" style="147" bestFit="1" customWidth="1"/>
    <col min="43" max="43" width="14.8515625" style="147" bestFit="1" customWidth="1"/>
    <col min="44" max="44" width="9.57421875" style="147" bestFit="1" customWidth="1"/>
    <col min="45" max="45" width="11.8515625" style="147" bestFit="1" customWidth="1"/>
    <col min="46" max="46" width="14.421875" style="147" bestFit="1" customWidth="1"/>
    <col min="47" max="47" width="19.421875" style="147" bestFit="1" customWidth="1"/>
    <col min="48" max="48" width="12.8515625" style="147" bestFit="1" customWidth="1"/>
    <col min="49" max="49" width="14.8515625" style="147" bestFit="1" customWidth="1"/>
    <col min="50" max="50" width="9.57421875" style="147" bestFit="1" customWidth="1"/>
    <col min="51" max="51" width="11.8515625" style="147" bestFit="1" customWidth="1"/>
    <col min="52" max="52" width="14.421875" style="147" bestFit="1" customWidth="1"/>
    <col min="53" max="53" width="19.421875" style="147" bestFit="1" customWidth="1"/>
    <col min="54" max="54" width="12.8515625" style="147" bestFit="1" customWidth="1"/>
    <col min="55" max="55" width="14.8515625" style="147" bestFit="1" customWidth="1"/>
    <col min="56" max="56" width="9.57421875" style="147" bestFit="1" customWidth="1"/>
    <col min="57" max="57" width="11.8515625" style="147" bestFit="1" customWidth="1"/>
    <col min="58" max="58" width="14.421875" style="147" bestFit="1" customWidth="1"/>
    <col min="59" max="59" width="19.421875" style="147" bestFit="1" customWidth="1"/>
    <col min="60" max="60" width="12.8515625" style="147" bestFit="1" customWidth="1"/>
    <col min="61" max="61" width="14.8515625" style="147" bestFit="1" customWidth="1"/>
    <col min="62" max="62" width="9.57421875" style="147" bestFit="1" customWidth="1"/>
    <col min="63" max="63" width="11.8515625" style="147" bestFit="1" customWidth="1"/>
    <col min="64" max="64" width="14.421875" style="147" bestFit="1" customWidth="1"/>
    <col min="65" max="65" width="19.421875" style="147" bestFit="1" customWidth="1"/>
    <col min="66" max="66" width="12.8515625" style="147" bestFit="1" customWidth="1"/>
    <col min="67" max="67" width="14.8515625" style="147" bestFit="1" customWidth="1"/>
    <col min="68" max="68" width="9.57421875" style="147" bestFit="1" customWidth="1"/>
    <col min="69" max="69" width="11.8515625" style="147" bestFit="1" customWidth="1"/>
    <col min="70" max="70" width="14.421875" style="147" bestFit="1" customWidth="1"/>
    <col min="71" max="71" width="19.421875" style="147" bestFit="1" customWidth="1"/>
    <col min="72" max="72" width="12.8515625" style="147" bestFit="1" customWidth="1"/>
    <col min="73" max="73" width="14.8515625" style="147" bestFit="1" customWidth="1"/>
    <col min="74" max="74" width="9.57421875" style="147" bestFit="1" customWidth="1"/>
    <col min="75" max="75" width="11.8515625" style="147" bestFit="1" customWidth="1"/>
    <col min="76" max="76" width="14.421875" style="147" bestFit="1" customWidth="1"/>
    <col min="77" max="77" width="19.421875" style="147" bestFit="1" customWidth="1"/>
    <col min="78" max="78" width="12.8515625" style="147" bestFit="1" customWidth="1"/>
    <col min="79" max="79" width="14.8515625" style="147" bestFit="1" customWidth="1"/>
    <col min="80" max="80" width="9.57421875" style="147" bestFit="1" customWidth="1"/>
    <col min="81" max="81" width="11.8515625" style="147" bestFit="1" customWidth="1"/>
    <col min="82" max="82" width="14.421875" style="147" bestFit="1" customWidth="1"/>
    <col min="83" max="83" width="19.421875" style="147" bestFit="1" customWidth="1"/>
    <col min="84" max="84" width="12.8515625" style="147" bestFit="1" customWidth="1"/>
    <col min="85" max="85" width="14.8515625" style="147" bestFit="1" customWidth="1"/>
    <col min="86" max="86" width="9.57421875" style="147" bestFit="1" customWidth="1"/>
    <col min="87" max="87" width="11.8515625" style="147" bestFit="1" customWidth="1"/>
    <col min="88" max="88" width="14.421875" style="147" bestFit="1" customWidth="1"/>
    <col min="89" max="89" width="19.421875" style="147" bestFit="1" customWidth="1"/>
    <col min="90" max="90" width="12.8515625" style="147" bestFit="1" customWidth="1"/>
    <col min="91" max="91" width="14.8515625" style="147" bestFit="1" customWidth="1"/>
    <col min="92" max="92" width="9.57421875" style="147" bestFit="1" customWidth="1"/>
    <col min="93" max="93" width="11.8515625" style="147" bestFit="1" customWidth="1"/>
    <col min="94" max="94" width="14.421875" style="147" bestFit="1" customWidth="1"/>
    <col min="95" max="95" width="19.421875" style="147" bestFit="1" customWidth="1"/>
    <col min="96" max="96" width="12.8515625" style="147" bestFit="1" customWidth="1"/>
    <col min="97" max="97" width="14.8515625" style="147" bestFit="1" customWidth="1"/>
    <col min="98" max="98" width="9.57421875" style="147" bestFit="1" customWidth="1"/>
    <col min="99" max="99" width="11.8515625" style="147" bestFit="1" customWidth="1"/>
    <col min="100" max="100" width="14.421875" style="147" bestFit="1" customWidth="1"/>
    <col min="101" max="101" width="19.421875" style="147" bestFit="1" customWidth="1"/>
    <col min="102" max="102" width="12.8515625" style="147" bestFit="1" customWidth="1"/>
    <col min="103" max="103" width="14.8515625" style="147" bestFit="1" customWidth="1"/>
    <col min="104" max="104" width="9.57421875" style="147" bestFit="1" customWidth="1"/>
    <col min="105" max="105" width="11.8515625" style="147" bestFit="1" customWidth="1"/>
    <col min="106" max="106" width="14.421875" style="147" bestFit="1" customWidth="1"/>
    <col min="107" max="107" width="19.421875" style="147" bestFit="1" customWidth="1"/>
    <col min="108" max="108" width="12.8515625" style="147" bestFit="1" customWidth="1"/>
    <col min="109" max="109" width="14.8515625" style="147" bestFit="1" customWidth="1"/>
    <col min="110" max="110" width="9.57421875" style="147" bestFit="1" customWidth="1"/>
    <col min="111" max="111" width="11.8515625" style="147" bestFit="1" customWidth="1"/>
    <col min="112" max="112" width="14.421875" style="147" bestFit="1" customWidth="1"/>
    <col min="113" max="113" width="19.421875" style="147" bestFit="1" customWidth="1"/>
    <col min="114" max="114" width="12.8515625" style="147" bestFit="1" customWidth="1"/>
    <col min="115" max="115" width="14.8515625" style="147" bestFit="1" customWidth="1"/>
    <col min="116" max="116" width="9.57421875" style="147" bestFit="1" customWidth="1"/>
    <col min="117" max="117" width="11.8515625" style="147" bestFit="1" customWidth="1"/>
    <col min="118" max="118" width="14.421875" style="147" bestFit="1" customWidth="1"/>
    <col min="119" max="119" width="19.421875" style="147" bestFit="1" customWidth="1"/>
    <col min="120" max="120" width="12.8515625" style="147" bestFit="1" customWidth="1"/>
    <col min="121" max="121" width="14.8515625" style="147" bestFit="1" customWidth="1"/>
    <col min="122" max="122" width="9.57421875" style="147" bestFit="1" customWidth="1"/>
    <col min="123" max="123" width="11.8515625" style="147" bestFit="1" customWidth="1"/>
    <col min="124" max="124" width="14.421875" style="147" bestFit="1" customWidth="1"/>
    <col min="125" max="125" width="19.421875" style="147" bestFit="1" customWidth="1"/>
    <col min="126" max="126" width="12.8515625" style="147" bestFit="1" customWidth="1"/>
    <col min="127" max="127" width="14.8515625" style="147" bestFit="1" customWidth="1"/>
    <col min="128" max="128" width="9.57421875" style="147" bestFit="1" customWidth="1"/>
    <col min="129" max="129" width="11.8515625" style="147" bestFit="1" customWidth="1"/>
    <col min="130" max="130" width="14.421875" style="147" bestFit="1" customWidth="1"/>
    <col min="131" max="131" width="19.421875" style="147" bestFit="1" customWidth="1"/>
    <col min="132" max="132" width="12.8515625" style="147" bestFit="1" customWidth="1"/>
    <col min="133" max="133" width="14.8515625" style="147" bestFit="1" customWidth="1"/>
    <col min="134" max="134" width="9.57421875" style="147" bestFit="1" customWidth="1"/>
    <col min="135" max="135" width="11.8515625" style="147" bestFit="1" customWidth="1"/>
    <col min="136" max="136" width="14.421875" style="147" bestFit="1" customWidth="1"/>
    <col min="137" max="137" width="19.421875" style="147" bestFit="1" customWidth="1"/>
    <col min="138" max="138" width="12.8515625" style="147" bestFit="1" customWidth="1"/>
    <col min="139" max="139" width="14.8515625" style="147" bestFit="1" customWidth="1"/>
    <col min="140" max="140" width="9.57421875" style="147" bestFit="1" customWidth="1"/>
    <col min="141" max="141" width="11.8515625" style="147" bestFit="1" customWidth="1"/>
    <col min="142" max="142" width="14.421875" style="147" bestFit="1" customWidth="1"/>
    <col min="143" max="143" width="19.421875" style="147" bestFit="1" customWidth="1"/>
    <col min="144" max="144" width="12.8515625" style="147" bestFit="1" customWidth="1"/>
    <col min="145" max="145" width="14.8515625" style="147" bestFit="1" customWidth="1"/>
    <col min="146" max="16384" width="9.140625" style="147" customWidth="1"/>
  </cols>
  <sheetData>
    <row r="1" spans="1:145" ht="17.25">
      <c r="A1" s="1747" t="s">
        <v>452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  <c r="M1" s="1747"/>
      <c r="N1" s="1747"/>
      <c r="O1" s="1747"/>
      <c r="P1" s="1747"/>
      <c r="Q1" s="1747"/>
      <c r="R1" s="1747"/>
      <c r="S1" s="1747"/>
      <c r="T1" s="1747"/>
      <c r="U1" s="1747"/>
      <c r="V1" s="1747"/>
      <c r="W1" s="1747"/>
      <c r="X1" s="1747"/>
      <c r="Y1" s="1747"/>
      <c r="Z1" s="1747"/>
      <c r="AA1" s="1747"/>
      <c r="AB1" s="1747"/>
      <c r="AC1" s="1747"/>
      <c r="AD1" s="1747"/>
      <c r="AE1" s="1747"/>
      <c r="AF1" s="1747"/>
      <c r="AG1" s="1747"/>
      <c r="AH1" s="1747"/>
      <c r="AI1" s="1747"/>
      <c r="AJ1" s="1747"/>
      <c r="AK1" s="1747"/>
      <c r="AL1" s="1747"/>
      <c r="AM1" s="1747"/>
      <c r="AN1" s="1747"/>
      <c r="AO1" s="1747"/>
      <c r="AP1" s="1747"/>
      <c r="AQ1" s="1747"/>
      <c r="AR1" s="1747"/>
      <c r="AS1" s="1747"/>
      <c r="AT1" s="1747"/>
      <c r="AU1" s="1747"/>
      <c r="AV1" s="1747"/>
      <c r="AW1" s="1747"/>
      <c r="AX1" s="1747"/>
      <c r="AY1" s="1747"/>
      <c r="AZ1" s="1747"/>
      <c r="BA1" s="1747"/>
      <c r="BB1" s="1747"/>
      <c r="BC1" s="1747"/>
      <c r="BD1" s="1747"/>
      <c r="BE1" s="1747"/>
      <c r="BF1" s="1747"/>
      <c r="BG1" s="1747"/>
      <c r="BH1" s="1747"/>
      <c r="BI1" s="1747"/>
      <c r="BJ1" s="1747"/>
      <c r="BK1" s="1747"/>
      <c r="BL1" s="1747"/>
      <c r="BM1" s="1747"/>
      <c r="BN1" s="1747"/>
      <c r="BO1" s="1747"/>
      <c r="BP1" s="1747"/>
      <c r="BQ1" s="1747"/>
      <c r="BR1" s="1747"/>
      <c r="BS1" s="1747"/>
      <c r="BT1" s="1747"/>
      <c r="BU1" s="1747"/>
      <c r="BV1" s="1747"/>
      <c r="BW1" s="1747"/>
      <c r="BX1" s="1747"/>
      <c r="BY1" s="1747"/>
      <c r="BZ1" s="1747"/>
      <c r="CA1" s="1747"/>
      <c r="CB1" s="1747"/>
      <c r="CC1" s="1747"/>
      <c r="CD1" s="1747"/>
      <c r="CE1" s="1747"/>
      <c r="CF1" s="1747"/>
      <c r="CG1" s="1747"/>
      <c r="CH1" s="1747"/>
      <c r="CI1" s="1747"/>
      <c r="CJ1" s="1747"/>
      <c r="CK1" s="1747"/>
      <c r="CL1" s="1747"/>
      <c r="CM1" s="1747"/>
      <c r="CN1" s="1747"/>
      <c r="CO1" s="1747"/>
      <c r="CP1" s="1747"/>
      <c r="CQ1" s="1747"/>
      <c r="CR1" s="1747"/>
      <c r="CS1" s="1747"/>
      <c r="CT1" s="1747"/>
      <c r="CU1" s="1747"/>
      <c r="CV1" s="1747"/>
      <c r="CW1" s="1747"/>
      <c r="CX1" s="1747"/>
      <c r="CY1" s="1747"/>
      <c r="CZ1" s="1747"/>
      <c r="DA1" s="1747"/>
      <c r="DB1" s="1747"/>
      <c r="DC1" s="1747"/>
      <c r="DD1" s="1747"/>
      <c r="DE1" s="1747"/>
      <c r="DF1" s="1747"/>
      <c r="DG1" s="1747"/>
      <c r="DH1" s="1747"/>
      <c r="DI1" s="1747"/>
      <c r="DJ1" s="1747"/>
      <c r="DK1" s="1747"/>
      <c r="DL1" s="1747"/>
      <c r="DM1" s="1747"/>
      <c r="DN1" s="1747"/>
      <c r="DO1" s="1747"/>
      <c r="DP1" s="1747"/>
      <c r="DQ1" s="1747"/>
      <c r="DR1" s="1747"/>
      <c r="DS1" s="1747"/>
      <c r="DT1" s="1747"/>
      <c r="DU1" s="1747"/>
      <c r="DV1" s="1747"/>
      <c r="DW1" s="1747"/>
      <c r="DX1" s="1747"/>
      <c r="DY1" s="1747"/>
      <c r="DZ1" s="1747"/>
      <c r="EA1" s="1747"/>
      <c r="EB1" s="1747"/>
      <c r="EC1" s="1747"/>
      <c r="ED1" s="1747"/>
      <c r="EE1" s="1747"/>
      <c r="EF1" s="1747"/>
      <c r="EG1" s="1747"/>
      <c r="EH1" s="1747"/>
      <c r="EI1" s="1747"/>
      <c r="EJ1" s="1747"/>
      <c r="EK1" s="1747"/>
      <c r="EL1" s="1747"/>
      <c r="EM1" s="1747"/>
      <c r="EN1" s="1747"/>
      <c r="EO1" s="1747"/>
    </row>
    <row r="2" spans="1:145" ht="10.5" customHeight="1" thickBot="1">
      <c r="A2" s="1880"/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  <c r="R2" s="1880"/>
      <c r="S2" s="1880"/>
      <c r="T2" s="1880"/>
      <c r="U2" s="1880"/>
      <c r="V2" s="1880"/>
      <c r="W2" s="1880"/>
      <c r="X2" s="1880"/>
      <c r="Y2" s="1880"/>
      <c r="Z2" s="1880"/>
      <c r="AA2" s="1880"/>
      <c r="AB2" s="1880"/>
      <c r="AC2" s="1880"/>
      <c r="AD2" s="1880"/>
      <c r="AE2" s="1880"/>
      <c r="AF2" s="1880"/>
      <c r="AG2" s="1880"/>
      <c r="AH2" s="1880"/>
      <c r="AI2" s="1880"/>
      <c r="AJ2" s="1880"/>
      <c r="AK2" s="1880"/>
      <c r="AL2" s="1880"/>
      <c r="AM2" s="1880"/>
      <c r="AN2" s="1880"/>
      <c r="AO2" s="1880"/>
      <c r="AP2" s="1880"/>
      <c r="AQ2" s="1880"/>
      <c r="AR2" s="1880"/>
      <c r="AS2" s="1880"/>
      <c r="AT2" s="1880"/>
      <c r="AU2" s="1880"/>
      <c r="AV2" s="1880"/>
      <c r="AW2" s="1880"/>
      <c r="AX2" s="1880"/>
      <c r="AY2" s="1880"/>
      <c r="AZ2" s="1880"/>
      <c r="BA2" s="1880"/>
      <c r="BB2" s="1880"/>
      <c r="BC2" s="1880"/>
      <c r="BD2" s="1880"/>
      <c r="BE2" s="1880"/>
      <c r="BF2" s="1880"/>
      <c r="BG2" s="1880"/>
      <c r="BH2" s="1880"/>
      <c r="BI2" s="1880"/>
      <c r="BJ2" s="1880"/>
      <c r="BK2" s="1880"/>
      <c r="BL2" s="1880"/>
      <c r="BM2" s="1880"/>
      <c r="BN2" s="1880"/>
      <c r="BO2" s="1880"/>
      <c r="BP2" s="1880"/>
      <c r="BQ2" s="1880"/>
      <c r="BR2" s="1880"/>
      <c r="BS2" s="1880"/>
      <c r="BT2" s="1880"/>
      <c r="BU2" s="1880"/>
      <c r="BV2" s="1880"/>
      <c r="BW2" s="1880"/>
      <c r="BX2" s="1880"/>
      <c r="BY2" s="1880"/>
      <c r="BZ2" s="1880"/>
      <c r="CA2" s="1880"/>
      <c r="CB2" s="1880"/>
      <c r="CC2" s="1880"/>
      <c r="CD2" s="1880"/>
      <c r="CE2" s="1880"/>
      <c r="CF2" s="1880"/>
      <c r="CG2" s="1880"/>
      <c r="CH2" s="1880"/>
      <c r="CI2" s="1880"/>
      <c r="CJ2" s="1880"/>
      <c r="CK2" s="1880"/>
      <c r="CL2" s="1880"/>
      <c r="CM2" s="1880"/>
      <c r="CN2" s="1880"/>
      <c r="CO2" s="1880"/>
      <c r="CP2" s="1880"/>
      <c r="CQ2" s="1880"/>
      <c r="CR2" s="1880"/>
      <c r="CS2" s="1880"/>
      <c r="CT2" s="1880"/>
      <c r="CU2" s="1880"/>
      <c r="CV2" s="1880"/>
      <c r="CW2" s="1880"/>
      <c r="CX2" s="1880"/>
      <c r="CY2" s="1880"/>
      <c r="CZ2" s="1880"/>
      <c r="DA2" s="1880"/>
      <c r="DB2" s="1880"/>
      <c r="DC2" s="1880"/>
      <c r="DD2" s="1880"/>
      <c r="DE2" s="1880"/>
      <c r="DF2" s="1880"/>
      <c r="DG2" s="1880"/>
      <c r="DH2" s="1880"/>
      <c r="DI2" s="1880"/>
      <c r="DJ2" s="1880"/>
      <c r="DK2" s="1880"/>
      <c r="DL2" s="1880"/>
      <c r="DM2" s="1880"/>
      <c r="DN2" s="1880"/>
      <c r="DO2" s="1880"/>
      <c r="DP2" s="1880"/>
      <c r="DQ2" s="1880"/>
      <c r="DR2" s="1880"/>
      <c r="DS2" s="1880"/>
      <c r="DT2" s="1880"/>
      <c r="DU2" s="1880"/>
      <c r="DV2" s="1880"/>
      <c r="DW2" s="1880"/>
      <c r="DX2" s="1880"/>
      <c r="DY2" s="1880"/>
      <c r="DZ2" s="1880"/>
      <c r="EA2" s="1880"/>
      <c r="EB2" s="1880"/>
      <c r="EC2" s="1880"/>
      <c r="ED2" s="1880"/>
      <c r="EE2" s="1880"/>
      <c r="EF2" s="1880"/>
      <c r="EG2" s="1880"/>
      <c r="EH2" s="1880"/>
      <c r="EI2" s="1880"/>
      <c r="EJ2" s="1880"/>
      <c r="EK2" s="1880"/>
      <c r="EL2" s="1880"/>
      <c r="EM2" s="1880"/>
      <c r="EN2" s="1880"/>
      <c r="EO2" s="1880"/>
    </row>
    <row r="3" spans="1:145" s="1493" customFormat="1" ht="31.5" customHeight="1" thickBot="1">
      <c r="A3" s="1881" t="s">
        <v>121</v>
      </c>
      <c r="B3" s="1876" t="s">
        <v>525</v>
      </c>
      <c r="C3" s="1876"/>
      <c r="D3" s="1876"/>
      <c r="E3" s="1876"/>
      <c r="F3" s="1876"/>
      <c r="G3" s="1883"/>
      <c r="H3" s="1875" t="s">
        <v>185</v>
      </c>
      <c r="I3" s="1876"/>
      <c r="J3" s="1876"/>
      <c r="K3" s="1876"/>
      <c r="L3" s="1876"/>
      <c r="M3" s="1883"/>
      <c r="N3" s="1875" t="s">
        <v>186</v>
      </c>
      <c r="O3" s="1876"/>
      <c r="P3" s="1876"/>
      <c r="Q3" s="1876"/>
      <c r="R3" s="1876"/>
      <c r="S3" s="1883"/>
      <c r="T3" s="1876" t="s">
        <v>187</v>
      </c>
      <c r="U3" s="1876"/>
      <c r="V3" s="1876"/>
      <c r="W3" s="1876"/>
      <c r="X3" s="1876"/>
      <c r="Y3" s="1883"/>
      <c r="Z3" s="1876" t="s">
        <v>457</v>
      </c>
      <c r="AA3" s="1876"/>
      <c r="AB3" s="1876"/>
      <c r="AC3" s="1876"/>
      <c r="AD3" s="1876"/>
      <c r="AE3" s="1883"/>
      <c r="AF3" s="1876" t="s">
        <v>189</v>
      </c>
      <c r="AG3" s="1876"/>
      <c r="AH3" s="1876"/>
      <c r="AI3" s="1876"/>
      <c r="AJ3" s="1876"/>
      <c r="AK3" s="1883"/>
      <c r="AL3" s="1876" t="s">
        <v>532</v>
      </c>
      <c r="AM3" s="1876"/>
      <c r="AN3" s="1876"/>
      <c r="AO3" s="1876"/>
      <c r="AP3" s="1876"/>
      <c r="AQ3" s="1883"/>
      <c r="AR3" s="1876" t="s">
        <v>190</v>
      </c>
      <c r="AS3" s="1876"/>
      <c r="AT3" s="1876"/>
      <c r="AU3" s="1876"/>
      <c r="AV3" s="1876"/>
      <c r="AW3" s="1883"/>
      <c r="AX3" s="1876" t="s">
        <v>434</v>
      </c>
      <c r="AY3" s="1876"/>
      <c r="AZ3" s="1876"/>
      <c r="BA3" s="1876"/>
      <c r="BB3" s="1876"/>
      <c r="BC3" s="1883"/>
      <c r="BD3" s="1876" t="s">
        <v>192</v>
      </c>
      <c r="BE3" s="1876"/>
      <c r="BF3" s="1876"/>
      <c r="BG3" s="1876"/>
      <c r="BH3" s="1876"/>
      <c r="BI3" s="1883"/>
      <c r="BJ3" s="1876" t="s">
        <v>193</v>
      </c>
      <c r="BK3" s="1876"/>
      <c r="BL3" s="1876"/>
      <c r="BM3" s="1876"/>
      <c r="BN3" s="1876"/>
      <c r="BO3" s="1883"/>
      <c r="BP3" s="1876" t="s">
        <v>453</v>
      </c>
      <c r="BQ3" s="1876"/>
      <c r="BR3" s="1876"/>
      <c r="BS3" s="1876"/>
      <c r="BT3" s="1876"/>
      <c r="BU3" s="1883"/>
      <c r="BV3" s="1875" t="s">
        <v>458</v>
      </c>
      <c r="BW3" s="1876"/>
      <c r="BX3" s="1876"/>
      <c r="BY3" s="1876"/>
      <c r="BZ3" s="1876"/>
      <c r="CA3" s="1883"/>
      <c r="CB3" s="1875" t="s">
        <v>604</v>
      </c>
      <c r="CC3" s="1876"/>
      <c r="CD3" s="1876"/>
      <c r="CE3" s="1876"/>
      <c r="CF3" s="1876"/>
      <c r="CG3" s="1883"/>
      <c r="CH3" s="1877" t="s">
        <v>197</v>
      </c>
      <c r="CI3" s="1878"/>
      <c r="CJ3" s="1878"/>
      <c r="CK3" s="1878"/>
      <c r="CL3" s="1878"/>
      <c r="CM3" s="1879"/>
      <c r="CN3" s="1875" t="s">
        <v>198</v>
      </c>
      <c r="CO3" s="1876"/>
      <c r="CP3" s="1876"/>
      <c r="CQ3" s="1876"/>
      <c r="CR3" s="1876"/>
      <c r="CS3" s="1883"/>
      <c r="CT3" s="1875" t="s">
        <v>199</v>
      </c>
      <c r="CU3" s="1876"/>
      <c r="CV3" s="1876"/>
      <c r="CW3" s="1876"/>
      <c r="CX3" s="1876"/>
      <c r="CY3" s="1883"/>
      <c r="CZ3" s="1875" t="s">
        <v>200</v>
      </c>
      <c r="DA3" s="1876"/>
      <c r="DB3" s="1876"/>
      <c r="DC3" s="1876"/>
      <c r="DD3" s="1876"/>
      <c r="DE3" s="1883"/>
      <c r="DF3" s="1877" t="s">
        <v>201</v>
      </c>
      <c r="DG3" s="1878"/>
      <c r="DH3" s="1878"/>
      <c r="DI3" s="1878"/>
      <c r="DJ3" s="1878"/>
      <c r="DK3" s="1879"/>
      <c r="DL3" s="1875" t="s">
        <v>202</v>
      </c>
      <c r="DM3" s="1876"/>
      <c r="DN3" s="1876"/>
      <c r="DO3" s="1876"/>
      <c r="DP3" s="1876"/>
      <c r="DQ3" s="1883"/>
      <c r="DR3" s="1875" t="s">
        <v>428</v>
      </c>
      <c r="DS3" s="1876"/>
      <c r="DT3" s="1876"/>
      <c r="DU3" s="1876"/>
      <c r="DV3" s="1876"/>
      <c r="DW3" s="1883"/>
      <c r="DX3" s="1875" t="s">
        <v>204</v>
      </c>
      <c r="DY3" s="1876"/>
      <c r="DZ3" s="1876"/>
      <c r="EA3" s="1876"/>
      <c r="EB3" s="1876"/>
      <c r="EC3" s="1876"/>
      <c r="ED3" s="1875" t="s">
        <v>433</v>
      </c>
      <c r="EE3" s="1876"/>
      <c r="EF3" s="1876"/>
      <c r="EG3" s="1876"/>
      <c r="EH3" s="1876"/>
      <c r="EI3" s="1876"/>
      <c r="EJ3" s="1877" t="s">
        <v>207</v>
      </c>
      <c r="EK3" s="1878"/>
      <c r="EL3" s="1878"/>
      <c r="EM3" s="1878"/>
      <c r="EN3" s="1878"/>
      <c r="EO3" s="1879"/>
    </row>
    <row r="4" spans="1:145" s="1084" customFormat="1" ht="17.25" thickBot="1">
      <c r="A4" s="1882"/>
      <c r="B4" s="912" t="s">
        <v>122</v>
      </c>
      <c r="C4" s="913" t="s">
        <v>123</v>
      </c>
      <c r="D4" s="913" t="s">
        <v>124</v>
      </c>
      <c r="E4" s="913" t="s">
        <v>125</v>
      </c>
      <c r="F4" s="913" t="s">
        <v>126</v>
      </c>
      <c r="G4" s="914" t="s">
        <v>127</v>
      </c>
      <c r="H4" s="915" t="s">
        <v>122</v>
      </c>
      <c r="I4" s="916" t="s">
        <v>123</v>
      </c>
      <c r="J4" s="916" t="s">
        <v>124</v>
      </c>
      <c r="K4" s="916" t="s">
        <v>125</v>
      </c>
      <c r="L4" s="916" t="s">
        <v>126</v>
      </c>
      <c r="M4" s="915" t="s">
        <v>127</v>
      </c>
      <c r="N4" s="838" t="s">
        <v>122</v>
      </c>
      <c r="O4" s="916" t="s">
        <v>123</v>
      </c>
      <c r="P4" s="916" t="s">
        <v>124</v>
      </c>
      <c r="Q4" s="916" t="s">
        <v>125</v>
      </c>
      <c r="R4" s="916" t="s">
        <v>126</v>
      </c>
      <c r="S4" s="915" t="s">
        <v>127</v>
      </c>
      <c r="T4" s="838" t="s">
        <v>122</v>
      </c>
      <c r="U4" s="916" t="s">
        <v>123</v>
      </c>
      <c r="V4" s="916" t="s">
        <v>124</v>
      </c>
      <c r="W4" s="916" t="s">
        <v>125</v>
      </c>
      <c r="X4" s="916" t="s">
        <v>126</v>
      </c>
      <c r="Y4" s="915" t="s">
        <v>127</v>
      </c>
      <c r="Z4" s="838" t="s">
        <v>122</v>
      </c>
      <c r="AA4" s="916" t="s">
        <v>123</v>
      </c>
      <c r="AB4" s="916" t="s">
        <v>124</v>
      </c>
      <c r="AC4" s="916" t="s">
        <v>125</v>
      </c>
      <c r="AD4" s="916" t="s">
        <v>126</v>
      </c>
      <c r="AE4" s="915" t="s">
        <v>127</v>
      </c>
      <c r="AF4" s="838" t="s">
        <v>122</v>
      </c>
      <c r="AG4" s="916" t="s">
        <v>123</v>
      </c>
      <c r="AH4" s="916" t="s">
        <v>124</v>
      </c>
      <c r="AI4" s="916" t="s">
        <v>125</v>
      </c>
      <c r="AJ4" s="916" t="s">
        <v>126</v>
      </c>
      <c r="AK4" s="915" t="s">
        <v>127</v>
      </c>
      <c r="AL4" s="838" t="s">
        <v>122</v>
      </c>
      <c r="AM4" s="916" t="s">
        <v>123</v>
      </c>
      <c r="AN4" s="916" t="s">
        <v>124</v>
      </c>
      <c r="AO4" s="916" t="s">
        <v>125</v>
      </c>
      <c r="AP4" s="916" t="s">
        <v>126</v>
      </c>
      <c r="AQ4" s="915" t="s">
        <v>127</v>
      </c>
      <c r="AR4" s="838" t="s">
        <v>122</v>
      </c>
      <c r="AS4" s="916" t="s">
        <v>123</v>
      </c>
      <c r="AT4" s="916" t="s">
        <v>124</v>
      </c>
      <c r="AU4" s="916" t="s">
        <v>125</v>
      </c>
      <c r="AV4" s="916" t="s">
        <v>126</v>
      </c>
      <c r="AW4" s="915" t="s">
        <v>127</v>
      </c>
      <c r="AX4" s="838" t="s">
        <v>122</v>
      </c>
      <c r="AY4" s="916" t="s">
        <v>123</v>
      </c>
      <c r="AZ4" s="916" t="s">
        <v>124</v>
      </c>
      <c r="BA4" s="916" t="s">
        <v>125</v>
      </c>
      <c r="BB4" s="916" t="s">
        <v>126</v>
      </c>
      <c r="BC4" s="915" t="s">
        <v>127</v>
      </c>
      <c r="BD4" s="838" t="s">
        <v>122</v>
      </c>
      <c r="BE4" s="916" t="s">
        <v>123</v>
      </c>
      <c r="BF4" s="916" t="s">
        <v>124</v>
      </c>
      <c r="BG4" s="916" t="s">
        <v>125</v>
      </c>
      <c r="BH4" s="916" t="s">
        <v>126</v>
      </c>
      <c r="BI4" s="915" t="s">
        <v>127</v>
      </c>
      <c r="BJ4" s="838" t="s">
        <v>122</v>
      </c>
      <c r="BK4" s="916" t="s">
        <v>123</v>
      </c>
      <c r="BL4" s="916" t="s">
        <v>124</v>
      </c>
      <c r="BM4" s="916" t="s">
        <v>125</v>
      </c>
      <c r="BN4" s="916" t="s">
        <v>126</v>
      </c>
      <c r="BO4" s="915" t="s">
        <v>127</v>
      </c>
      <c r="BP4" s="838" t="s">
        <v>122</v>
      </c>
      <c r="BQ4" s="916" t="s">
        <v>123</v>
      </c>
      <c r="BR4" s="916" t="s">
        <v>124</v>
      </c>
      <c r="BS4" s="916" t="s">
        <v>125</v>
      </c>
      <c r="BT4" s="916" t="s">
        <v>126</v>
      </c>
      <c r="BU4" s="915" t="s">
        <v>127</v>
      </c>
      <c r="BV4" s="838" t="s">
        <v>122</v>
      </c>
      <c r="BW4" s="916" t="s">
        <v>123</v>
      </c>
      <c r="BX4" s="916" t="s">
        <v>124</v>
      </c>
      <c r="BY4" s="916" t="s">
        <v>125</v>
      </c>
      <c r="BZ4" s="916" t="s">
        <v>126</v>
      </c>
      <c r="CA4" s="915" t="s">
        <v>127</v>
      </c>
      <c r="CB4" s="838" t="s">
        <v>122</v>
      </c>
      <c r="CC4" s="916" t="s">
        <v>123</v>
      </c>
      <c r="CD4" s="916" t="s">
        <v>124</v>
      </c>
      <c r="CE4" s="916" t="s">
        <v>125</v>
      </c>
      <c r="CF4" s="916" t="s">
        <v>126</v>
      </c>
      <c r="CG4" s="915" t="s">
        <v>127</v>
      </c>
      <c r="CH4" s="838" t="s">
        <v>122</v>
      </c>
      <c r="CI4" s="916" t="s">
        <v>123</v>
      </c>
      <c r="CJ4" s="916" t="s">
        <v>124</v>
      </c>
      <c r="CK4" s="916" t="s">
        <v>125</v>
      </c>
      <c r="CL4" s="916" t="s">
        <v>126</v>
      </c>
      <c r="CM4" s="915" t="s">
        <v>127</v>
      </c>
      <c r="CN4" s="838" t="s">
        <v>122</v>
      </c>
      <c r="CO4" s="916" t="s">
        <v>123</v>
      </c>
      <c r="CP4" s="916" t="s">
        <v>124</v>
      </c>
      <c r="CQ4" s="916" t="s">
        <v>125</v>
      </c>
      <c r="CR4" s="916" t="s">
        <v>126</v>
      </c>
      <c r="CS4" s="915" t="s">
        <v>127</v>
      </c>
      <c r="CT4" s="838" t="s">
        <v>122</v>
      </c>
      <c r="CU4" s="916" t="s">
        <v>123</v>
      </c>
      <c r="CV4" s="916" t="s">
        <v>124</v>
      </c>
      <c r="CW4" s="916" t="s">
        <v>125</v>
      </c>
      <c r="CX4" s="916" t="s">
        <v>126</v>
      </c>
      <c r="CY4" s="915" t="s">
        <v>127</v>
      </c>
      <c r="CZ4" s="838" t="s">
        <v>122</v>
      </c>
      <c r="DA4" s="916" t="s">
        <v>123</v>
      </c>
      <c r="DB4" s="916" t="s">
        <v>124</v>
      </c>
      <c r="DC4" s="916" t="s">
        <v>125</v>
      </c>
      <c r="DD4" s="916" t="s">
        <v>126</v>
      </c>
      <c r="DE4" s="915" t="s">
        <v>127</v>
      </c>
      <c r="DF4" s="838" t="s">
        <v>122</v>
      </c>
      <c r="DG4" s="916" t="s">
        <v>123</v>
      </c>
      <c r="DH4" s="916" t="s">
        <v>124</v>
      </c>
      <c r="DI4" s="916" t="s">
        <v>125</v>
      </c>
      <c r="DJ4" s="916" t="s">
        <v>126</v>
      </c>
      <c r="DK4" s="915" t="s">
        <v>127</v>
      </c>
      <c r="DL4" s="838" t="s">
        <v>122</v>
      </c>
      <c r="DM4" s="916" t="s">
        <v>123</v>
      </c>
      <c r="DN4" s="916" t="s">
        <v>124</v>
      </c>
      <c r="DO4" s="916" t="s">
        <v>125</v>
      </c>
      <c r="DP4" s="916" t="s">
        <v>126</v>
      </c>
      <c r="DQ4" s="915" t="s">
        <v>127</v>
      </c>
      <c r="DR4" s="838" t="s">
        <v>122</v>
      </c>
      <c r="DS4" s="916" t="s">
        <v>123</v>
      </c>
      <c r="DT4" s="916" t="s">
        <v>124</v>
      </c>
      <c r="DU4" s="916" t="s">
        <v>125</v>
      </c>
      <c r="DV4" s="916" t="s">
        <v>126</v>
      </c>
      <c r="DW4" s="915" t="s">
        <v>127</v>
      </c>
      <c r="DX4" s="838" t="s">
        <v>122</v>
      </c>
      <c r="DY4" s="916" t="s">
        <v>123</v>
      </c>
      <c r="DZ4" s="916" t="s">
        <v>124</v>
      </c>
      <c r="EA4" s="916" t="s">
        <v>125</v>
      </c>
      <c r="EB4" s="916" t="s">
        <v>126</v>
      </c>
      <c r="EC4" s="915" t="s">
        <v>127</v>
      </c>
      <c r="ED4" s="838" t="s">
        <v>122</v>
      </c>
      <c r="EE4" s="916" t="s">
        <v>123</v>
      </c>
      <c r="EF4" s="916" t="s">
        <v>124</v>
      </c>
      <c r="EG4" s="916" t="s">
        <v>125</v>
      </c>
      <c r="EH4" s="916" t="s">
        <v>126</v>
      </c>
      <c r="EI4" s="915" t="s">
        <v>127</v>
      </c>
      <c r="EJ4" s="838" t="s">
        <v>122</v>
      </c>
      <c r="EK4" s="916" t="s">
        <v>123</v>
      </c>
      <c r="EL4" s="916" t="s">
        <v>124</v>
      </c>
      <c r="EM4" s="916" t="s">
        <v>125</v>
      </c>
      <c r="EN4" s="916" t="s">
        <v>126</v>
      </c>
      <c r="EO4" s="915" t="s">
        <v>127</v>
      </c>
    </row>
    <row r="5" spans="1:145" s="1169" customFormat="1" ht="18">
      <c r="A5" s="797" t="s">
        <v>128</v>
      </c>
      <c r="B5" s="1158">
        <v>24</v>
      </c>
      <c r="C5" s="1156">
        <v>1206</v>
      </c>
      <c r="D5" s="1156">
        <v>572</v>
      </c>
      <c r="E5" s="1156">
        <v>377</v>
      </c>
      <c r="F5" s="1156">
        <v>107</v>
      </c>
      <c r="G5" s="1157">
        <v>4202</v>
      </c>
      <c r="H5" s="1176">
        <v>1</v>
      </c>
      <c r="I5" s="972">
        <v>8</v>
      </c>
      <c r="J5" s="972">
        <v>87</v>
      </c>
      <c r="K5" s="972"/>
      <c r="L5" s="972">
        <v>192</v>
      </c>
      <c r="M5" s="973">
        <v>17</v>
      </c>
      <c r="N5" s="974"/>
      <c r="O5" s="972"/>
      <c r="P5" s="972"/>
      <c r="Q5" s="972"/>
      <c r="R5" s="972"/>
      <c r="S5" s="973"/>
      <c r="T5" s="1176">
        <v>3</v>
      </c>
      <c r="U5" s="972">
        <v>353</v>
      </c>
      <c r="V5" s="972"/>
      <c r="W5" s="972">
        <v>3165</v>
      </c>
      <c r="X5" s="972">
        <v>415</v>
      </c>
      <c r="Y5" s="973">
        <v>45</v>
      </c>
      <c r="Z5" s="1176">
        <v>20</v>
      </c>
      <c r="AA5" s="972">
        <v>380</v>
      </c>
      <c r="AB5" s="972"/>
      <c r="AC5" s="972">
        <v>208</v>
      </c>
      <c r="AD5" s="972">
        <v>14</v>
      </c>
      <c r="AE5" s="973"/>
      <c r="AF5" s="1176">
        <v>70</v>
      </c>
      <c r="AG5" s="972">
        <v>278</v>
      </c>
      <c r="AH5" s="972">
        <v>72</v>
      </c>
      <c r="AI5" s="972">
        <v>216</v>
      </c>
      <c r="AJ5" s="972">
        <v>132</v>
      </c>
      <c r="AK5" s="973">
        <v>414</v>
      </c>
      <c r="AL5" s="1176">
        <v>262</v>
      </c>
      <c r="AM5" s="972">
        <v>9</v>
      </c>
      <c r="AN5" s="972">
        <v>332</v>
      </c>
      <c r="AO5" s="972"/>
      <c r="AP5" s="972">
        <v>545</v>
      </c>
      <c r="AQ5" s="973"/>
      <c r="AR5" s="1176"/>
      <c r="AS5" s="972"/>
      <c r="AT5" s="972">
        <v>251</v>
      </c>
      <c r="AU5" s="972">
        <v>197</v>
      </c>
      <c r="AV5" s="972">
        <v>249</v>
      </c>
      <c r="AW5" s="973"/>
      <c r="AX5" s="1176"/>
      <c r="AY5" s="972">
        <v>22</v>
      </c>
      <c r="AZ5" s="972">
        <v>300</v>
      </c>
      <c r="BA5" s="972">
        <v>250</v>
      </c>
      <c r="BB5" s="972">
        <v>807</v>
      </c>
      <c r="BC5" s="973"/>
      <c r="BD5" s="1176">
        <v>10</v>
      </c>
      <c r="BE5" s="972">
        <v>51</v>
      </c>
      <c r="BF5" s="972">
        <v>32</v>
      </c>
      <c r="BG5" s="972">
        <v>5</v>
      </c>
      <c r="BH5" s="972">
        <v>10</v>
      </c>
      <c r="BI5" s="973">
        <v>27</v>
      </c>
      <c r="BJ5" s="1176">
        <v>2877</v>
      </c>
      <c r="BK5" s="972">
        <v>33520</v>
      </c>
      <c r="BL5" s="972">
        <v>2271</v>
      </c>
      <c r="BM5" s="972">
        <v>6749</v>
      </c>
      <c r="BN5" s="972">
        <v>3035</v>
      </c>
      <c r="BO5" s="973">
        <v>86889</v>
      </c>
      <c r="BP5" s="1176">
        <v>1211</v>
      </c>
      <c r="BQ5" s="972">
        <v>7613</v>
      </c>
      <c r="BR5" s="972">
        <v>448</v>
      </c>
      <c r="BS5" s="972">
        <v>11520</v>
      </c>
      <c r="BT5" s="972">
        <v>4669</v>
      </c>
      <c r="BU5" s="973">
        <v>321</v>
      </c>
      <c r="BV5" s="1222">
        <v>16</v>
      </c>
      <c r="BW5" s="1178"/>
      <c r="BX5" s="1178">
        <v>1</v>
      </c>
      <c r="BY5" s="1178"/>
      <c r="BZ5" s="1178">
        <v>155</v>
      </c>
      <c r="CA5" s="1179"/>
      <c r="CB5" s="974">
        <v>76</v>
      </c>
      <c r="CC5" s="972">
        <v>59</v>
      </c>
      <c r="CD5" s="972">
        <v>619</v>
      </c>
      <c r="CE5" s="972"/>
      <c r="CF5" s="972">
        <v>7396</v>
      </c>
      <c r="CG5" s="973"/>
      <c r="CH5" s="974">
        <v>12</v>
      </c>
      <c r="CI5" s="972">
        <v>1346</v>
      </c>
      <c r="CJ5" s="972">
        <v>418</v>
      </c>
      <c r="CK5" s="972">
        <v>34</v>
      </c>
      <c r="CL5" s="972">
        <v>849</v>
      </c>
      <c r="CM5" s="973">
        <v>274</v>
      </c>
      <c r="CN5" s="974">
        <v>228</v>
      </c>
      <c r="CO5" s="972">
        <v>195</v>
      </c>
      <c r="CP5" s="972"/>
      <c r="CQ5" s="972"/>
      <c r="CR5" s="972"/>
      <c r="CS5" s="973">
        <v>7</v>
      </c>
      <c r="CT5" s="974">
        <v>61</v>
      </c>
      <c r="CU5" s="972">
        <v>1331</v>
      </c>
      <c r="CV5" s="972">
        <v>4274</v>
      </c>
      <c r="CW5" s="972">
        <v>4</v>
      </c>
      <c r="CX5" s="972">
        <v>4826</v>
      </c>
      <c r="CY5" s="973">
        <v>4</v>
      </c>
      <c r="CZ5" s="974">
        <v>85</v>
      </c>
      <c r="DA5" s="972">
        <v>1485</v>
      </c>
      <c r="DB5" s="972">
        <v>9934</v>
      </c>
      <c r="DC5" s="972">
        <v>448</v>
      </c>
      <c r="DD5" s="972">
        <v>49856</v>
      </c>
      <c r="DE5" s="973">
        <v>72</v>
      </c>
      <c r="DF5" s="1223"/>
      <c r="DG5" s="972"/>
      <c r="DH5" s="972"/>
      <c r="DI5" s="972"/>
      <c r="DJ5" s="972"/>
      <c r="DK5" s="973"/>
      <c r="DL5" s="1224">
        <v>837</v>
      </c>
      <c r="DM5" s="1180">
        <v>68079</v>
      </c>
      <c r="DN5" s="1180">
        <v>1154</v>
      </c>
      <c r="DO5" s="1180">
        <v>2890</v>
      </c>
      <c r="DP5" s="1180">
        <v>2639</v>
      </c>
      <c r="DQ5" s="1181">
        <v>11618</v>
      </c>
      <c r="DR5" s="1225">
        <v>160</v>
      </c>
      <c r="DS5" s="1182">
        <v>675</v>
      </c>
      <c r="DT5" s="1182">
        <v>58</v>
      </c>
      <c r="DU5" s="1182">
        <v>1</v>
      </c>
      <c r="DV5" s="1182">
        <v>313</v>
      </c>
      <c r="DW5" s="1177"/>
      <c r="DX5" s="1226">
        <v>254</v>
      </c>
      <c r="DY5" s="1183">
        <v>1526</v>
      </c>
      <c r="DZ5" s="1183">
        <v>150</v>
      </c>
      <c r="EA5" s="1183">
        <v>247</v>
      </c>
      <c r="EB5" s="1183">
        <v>3472</v>
      </c>
      <c r="EC5" s="1227">
        <v>46</v>
      </c>
      <c r="ED5" s="974"/>
      <c r="EE5" s="972">
        <v>935</v>
      </c>
      <c r="EF5" s="972">
        <v>65</v>
      </c>
      <c r="EG5" s="972">
        <v>7</v>
      </c>
      <c r="EH5" s="972">
        <v>170</v>
      </c>
      <c r="EI5" s="1185">
        <v>25</v>
      </c>
      <c r="EJ5" s="1226"/>
      <c r="EK5" s="1183"/>
      <c r="EL5" s="1183"/>
      <c r="EM5" s="1183"/>
      <c r="EN5" s="1183"/>
      <c r="EO5" s="1184"/>
    </row>
    <row r="6" spans="1:145" ht="16.5">
      <c r="A6" s="798" t="s">
        <v>129</v>
      </c>
      <c r="B6" s="794"/>
      <c r="C6" s="195"/>
      <c r="D6" s="195"/>
      <c r="E6" s="195"/>
      <c r="F6" s="195"/>
      <c r="G6" s="196"/>
      <c r="H6" s="957"/>
      <c r="I6" s="958"/>
      <c r="J6" s="958"/>
      <c r="K6" s="958"/>
      <c r="L6" s="958"/>
      <c r="M6" s="959"/>
      <c r="N6" s="961"/>
      <c r="O6" s="958"/>
      <c r="P6" s="958"/>
      <c r="Q6" s="958"/>
      <c r="R6" s="958"/>
      <c r="S6" s="959"/>
      <c r="T6" s="957"/>
      <c r="U6" s="958"/>
      <c r="V6" s="958"/>
      <c r="W6" s="958"/>
      <c r="X6" s="958"/>
      <c r="Y6" s="959"/>
      <c r="Z6" s="957"/>
      <c r="AA6" s="958"/>
      <c r="AB6" s="958"/>
      <c r="AC6" s="958"/>
      <c r="AD6" s="958"/>
      <c r="AE6" s="959"/>
      <c r="AF6" s="957"/>
      <c r="AG6" s="958"/>
      <c r="AH6" s="958"/>
      <c r="AI6" s="958"/>
      <c r="AJ6" s="958"/>
      <c r="AK6" s="959"/>
      <c r="AL6" s="957"/>
      <c r="AM6" s="958"/>
      <c r="AN6" s="958"/>
      <c r="AO6" s="958"/>
      <c r="AP6" s="958"/>
      <c r="AQ6" s="959"/>
      <c r="AR6" s="957"/>
      <c r="AS6" s="958"/>
      <c r="AT6" s="958"/>
      <c r="AU6" s="958"/>
      <c r="AV6" s="958"/>
      <c r="AW6" s="959"/>
      <c r="AX6" s="957"/>
      <c r="AY6" s="958"/>
      <c r="AZ6" s="958"/>
      <c r="BA6" s="958"/>
      <c r="BB6" s="958"/>
      <c r="BC6" s="959"/>
      <c r="BD6" s="957"/>
      <c r="BE6" s="958"/>
      <c r="BF6" s="958"/>
      <c r="BG6" s="958"/>
      <c r="BH6" s="958"/>
      <c r="BI6" s="959"/>
      <c r="BJ6" s="957"/>
      <c r="BK6" s="958"/>
      <c r="BL6" s="958"/>
      <c r="BM6" s="958"/>
      <c r="BN6" s="958"/>
      <c r="BO6" s="959"/>
      <c r="BP6" s="957"/>
      <c r="BQ6" s="958"/>
      <c r="BR6" s="958"/>
      <c r="BS6" s="958">
        <v>149507</v>
      </c>
      <c r="BT6" s="958">
        <v>353175</v>
      </c>
      <c r="BU6" s="959">
        <v>21031</v>
      </c>
      <c r="BV6" s="1085"/>
      <c r="BW6" s="963"/>
      <c r="BX6" s="963"/>
      <c r="BY6" s="963"/>
      <c r="BZ6" s="963"/>
      <c r="CA6" s="964"/>
      <c r="CB6" s="961"/>
      <c r="CC6" s="958"/>
      <c r="CD6" s="958"/>
      <c r="CE6" s="958"/>
      <c r="CF6" s="958"/>
      <c r="CG6" s="959"/>
      <c r="CH6" s="961"/>
      <c r="CI6" s="958"/>
      <c r="CJ6" s="958"/>
      <c r="CK6" s="958"/>
      <c r="CL6" s="958"/>
      <c r="CM6" s="959"/>
      <c r="CN6" s="961"/>
      <c r="CO6" s="958"/>
      <c r="CP6" s="958"/>
      <c r="CQ6" s="958"/>
      <c r="CR6" s="958"/>
      <c r="CS6" s="959"/>
      <c r="CT6" s="961"/>
      <c r="CU6" s="958"/>
      <c r="CV6" s="958"/>
      <c r="CW6" s="958"/>
      <c r="CX6" s="958"/>
      <c r="CY6" s="959"/>
      <c r="CZ6" s="961"/>
      <c r="DA6" s="958"/>
      <c r="DB6" s="958"/>
      <c r="DC6" s="958"/>
      <c r="DD6" s="958"/>
      <c r="DE6" s="959"/>
      <c r="DF6" s="1086"/>
      <c r="DG6" s="958"/>
      <c r="DH6" s="958"/>
      <c r="DI6" s="958"/>
      <c r="DJ6" s="958"/>
      <c r="DK6" s="959"/>
      <c r="DL6" s="235"/>
      <c r="DM6" s="236"/>
      <c r="DN6" s="236"/>
      <c r="DO6" s="236"/>
      <c r="DP6" s="236"/>
      <c r="DQ6" s="231"/>
      <c r="DR6" s="1087"/>
      <c r="DS6" s="968"/>
      <c r="DT6" s="968"/>
      <c r="DU6" s="968"/>
      <c r="DV6" s="968"/>
      <c r="DW6" s="960"/>
      <c r="DX6" s="1088"/>
      <c r="DY6" s="970"/>
      <c r="DZ6" s="970"/>
      <c r="EA6" s="970"/>
      <c r="EB6" s="970"/>
      <c r="EC6" s="1089"/>
      <c r="ED6" s="961"/>
      <c r="EE6" s="958"/>
      <c r="EF6" s="958"/>
      <c r="EG6" s="958"/>
      <c r="EH6" s="958"/>
      <c r="EI6" s="1090"/>
      <c r="EJ6" s="1088"/>
      <c r="EK6" s="970"/>
      <c r="EL6" s="970"/>
      <c r="EM6" s="970"/>
      <c r="EN6" s="970"/>
      <c r="EO6" s="971"/>
    </row>
    <row r="7" spans="1:145" s="1169" customFormat="1" ht="18">
      <c r="A7" s="797" t="s">
        <v>130</v>
      </c>
      <c r="B7" s="795">
        <v>5138</v>
      </c>
      <c r="C7" s="210">
        <v>42558</v>
      </c>
      <c r="D7" s="210">
        <v>39654</v>
      </c>
      <c r="E7" s="210">
        <v>16871</v>
      </c>
      <c r="F7" s="210">
        <v>58348</v>
      </c>
      <c r="G7" s="211">
        <v>35572</v>
      </c>
      <c r="H7" s="212">
        <v>90</v>
      </c>
      <c r="I7" s="972">
        <v>259</v>
      </c>
      <c r="J7" s="213">
        <v>2531</v>
      </c>
      <c r="K7" s="213"/>
      <c r="L7" s="972">
        <v>2792</v>
      </c>
      <c r="M7" s="973">
        <v>266</v>
      </c>
      <c r="N7" s="217"/>
      <c r="O7" s="213"/>
      <c r="P7" s="213"/>
      <c r="Q7" s="213"/>
      <c r="R7" s="213"/>
      <c r="S7" s="214"/>
      <c r="T7" s="212">
        <v>12124</v>
      </c>
      <c r="U7" s="213">
        <v>158895</v>
      </c>
      <c r="V7" s="213">
        <v>133895</v>
      </c>
      <c r="W7" s="213">
        <v>26650</v>
      </c>
      <c r="X7" s="213">
        <v>102239</v>
      </c>
      <c r="Y7" s="214">
        <v>26918</v>
      </c>
      <c r="Z7" s="212">
        <v>381</v>
      </c>
      <c r="AA7" s="213">
        <v>294</v>
      </c>
      <c r="AB7" s="213">
        <v>39537</v>
      </c>
      <c r="AC7" s="213">
        <v>94</v>
      </c>
      <c r="AD7" s="213">
        <v>2437</v>
      </c>
      <c r="AE7" s="214"/>
      <c r="AF7" s="212">
        <v>358</v>
      </c>
      <c r="AG7" s="958">
        <v>150</v>
      </c>
      <c r="AH7" s="958">
        <v>4339</v>
      </c>
      <c r="AI7" s="958">
        <v>772</v>
      </c>
      <c r="AJ7" s="958">
        <v>2629</v>
      </c>
      <c r="AK7" s="214">
        <v>7954</v>
      </c>
      <c r="AL7" s="212">
        <v>72475</v>
      </c>
      <c r="AM7" s="213">
        <v>147</v>
      </c>
      <c r="AN7" s="213">
        <v>4818</v>
      </c>
      <c r="AO7" s="213"/>
      <c r="AP7" s="213">
        <v>51267</v>
      </c>
      <c r="AQ7" s="214"/>
      <c r="AR7" s="212">
        <v>326</v>
      </c>
      <c r="AS7" s="213"/>
      <c r="AT7" s="213">
        <v>1870</v>
      </c>
      <c r="AU7" s="213">
        <v>2301</v>
      </c>
      <c r="AV7" s="213">
        <v>5098</v>
      </c>
      <c r="AW7" s="214">
        <v>59</v>
      </c>
      <c r="AX7" s="212">
        <v>3468</v>
      </c>
      <c r="AY7" s="213">
        <v>35158</v>
      </c>
      <c r="AZ7" s="213">
        <v>47150</v>
      </c>
      <c r="BA7" s="213">
        <v>4707</v>
      </c>
      <c r="BB7" s="213">
        <v>34665</v>
      </c>
      <c r="BC7" s="214">
        <v>3464</v>
      </c>
      <c r="BD7" s="212">
        <v>335</v>
      </c>
      <c r="BE7" s="213">
        <v>1712</v>
      </c>
      <c r="BF7" s="213">
        <v>414</v>
      </c>
      <c r="BG7" s="213">
        <v>790</v>
      </c>
      <c r="BH7" s="213">
        <v>2461</v>
      </c>
      <c r="BI7" s="214">
        <v>2168</v>
      </c>
      <c r="BJ7" s="212">
        <v>72461</v>
      </c>
      <c r="BK7" s="213">
        <v>59552</v>
      </c>
      <c r="BL7" s="213">
        <v>8740</v>
      </c>
      <c r="BM7" s="972">
        <v>112212</v>
      </c>
      <c r="BN7" s="213">
        <v>68764</v>
      </c>
      <c r="BO7" s="214">
        <v>66215</v>
      </c>
      <c r="BP7" s="212">
        <v>110958</v>
      </c>
      <c r="BQ7" s="213">
        <v>114726</v>
      </c>
      <c r="BR7" s="213">
        <v>103160</v>
      </c>
      <c r="BS7" s="213">
        <v>149754</v>
      </c>
      <c r="BT7" s="213">
        <v>353590</v>
      </c>
      <c r="BU7" s="214">
        <v>19469</v>
      </c>
      <c r="BV7" s="1167">
        <v>399</v>
      </c>
      <c r="BW7" s="1168">
        <v>6109</v>
      </c>
      <c r="BX7" s="1168">
        <v>24173</v>
      </c>
      <c r="BY7" s="1168">
        <v>19</v>
      </c>
      <c r="BZ7" s="1168">
        <v>3152</v>
      </c>
      <c r="CA7" s="1175">
        <v>1</v>
      </c>
      <c r="CB7" s="217">
        <v>3884</v>
      </c>
      <c r="CC7" s="213">
        <v>3110</v>
      </c>
      <c r="CD7" s="213">
        <v>9290</v>
      </c>
      <c r="CE7" s="213"/>
      <c r="CF7" s="213">
        <v>24575</v>
      </c>
      <c r="CG7" s="214"/>
      <c r="CH7" s="217">
        <v>3334</v>
      </c>
      <c r="CI7" s="213">
        <v>50218</v>
      </c>
      <c r="CJ7" s="213">
        <v>29076</v>
      </c>
      <c r="CK7" s="213">
        <v>6300</v>
      </c>
      <c r="CL7" s="213">
        <v>88492</v>
      </c>
      <c r="CM7" s="214">
        <v>2734</v>
      </c>
      <c r="CN7" s="217">
        <v>3952</v>
      </c>
      <c r="CO7" s="213">
        <v>19658</v>
      </c>
      <c r="CP7" s="213">
        <v>24201</v>
      </c>
      <c r="CQ7" s="213">
        <v>1591</v>
      </c>
      <c r="CR7" s="213">
        <v>98008</v>
      </c>
      <c r="CS7" s="214">
        <v>70</v>
      </c>
      <c r="CT7" s="217">
        <v>3320</v>
      </c>
      <c r="CU7" s="213">
        <v>2206</v>
      </c>
      <c r="CV7" s="213">
        <v>54547</v>
      </c>
      <c r="CW7" s="213">
        <v>339</v>
      </c>
      <c r="CX7" s="213">
        <v>29874</v>
      </c>
      <c r="CY7" s="214">
        <v>33</v>
      </c>
      <c r="CZ7" s="217">
        <v>2006</v>
      </c>
      <c r="DA7" s="213">
        <v>22947</v>
      </c>
      <c r="DB7" s="213">
        <v>76138</v>
      </c>
      <c r="DC7" s="213">
        <v>1446</v>
      </c>
      <c r="DD7" s="213">
        <v>133008</v>
      </c>
      <c r="DE7" s="214">
        <v>116</v>
      </c>
      <c r="DF7" s="1228"/>
      <c r="DG7" s="213"/>
      <c r="DH7" s="213"/>
      <c r="DI7" s="213"/>
      <c r="DJ7" s="213"/>
      <c r="DK7" s="214"/>
      <c r="DL7" s="1229">
        <v>11832</v>
      </c>
      <c r="DM7" s="236">
        <v>112189</v>
      </c>
      <c r="DN7" s="236">
        <v>83238</v>
      </c>
      <c r="DO7" s="1189">
        <v>129639</v>
      </c>
      <c r="DP7" s="1189">
        <v>49079</v>
      </c>
      <c r="DQ7" s="1190">
        <v>47010</v>
      </c>
      <c r="DR7" s="1230">
        <v>802</v>
      </c>
      <c r="DS7" s="658">
        <v>1785</v>
      </c>
      <c r="DT7" s="658">
        <v>2379</v>
      </c>
      <c r="DU7" s="658">
        <v>233</v>
      </c>
      <c r="DV7" s="658">
        <v>2838</v>
      </c>
      <c r="DW7" s="1163"/>
      <c r="DX7" s="1164">
        <v>2022</v>
      </c>
      <c r="DY7" s="970">
        <v>2469</v>
      </c>
      <c r="DZ7" s="1165">
        <v>2038</v>
      </c>
      <c r="EA7" s="1183">
        <v>1386</v>
      </c>
      <c r="EB7" s="1183">
        <v>16735</v>
      </c>
      <c r="EC7" s="1231">
        <v>1516</v>
      </c>
      <c r="ED7" s="217">
        <v>2982</v>
      </c>
      <c r="EE7" s="213">
        <v>20856</v>
      </c>
      <c r="EF7" s="213">
        <v>349411</v>
      </c>
      <c r="EG7" s="213">
        <v>3572</v>
      </c>
      <c r="EH7" s="213">
        <v>39356</v>
      </c>
      <c r="EI7" s="579">
        <v>232041</v>
      </c>
      <c r="EJ7" s="1164"/>
      <c r="EK7" s="970"/>
      <c r="EL7" s="970"/>
      <c r="EM7" s="970"/>
      <c r="EN7" s="1165"/>
      <c r="EO7" s="1166"/>
    </row>
    <row r="8" spans="1:145" s="1169" customFormat="1" ht="18">
      <c r="A8" s="797" t="s">
        <v>435</v>
      </c>
      <c r="B8" s="795">
        <v>5035</v>
      </c>
      <c r="C8" s="210">
        <v>42636</v>
      </c>
      <c r="D8" s="210">
        <v>39502</v>
      </c>
      <c r="E8" s="210">
        <v>16602</v>
      </c>
      <c r="F8" s="210">
        <v>58448</v>
      </c>
      <c r="G8" s="211">
        <v>37570</v>
      </c>
      <c r="H8" s="212">
        <v>91</v>
      </c>
      <c r="I8" s="213">
        <v>258</v>
      </c>
      <c r="J8" s="213">
        <v>2327</v>
      </c>
      <c r="K8" s="213"/>
      <c r="L8" s="213">
        <v>2452</v>
      </c>
      <c r="M8" s="214">
        <v>264</v>
      </c>
      <c r="N8" s="217"/>
      <c r="O8" s="213"/>
      <c r="P8" s="213"/>
      <c r="Q8" s="213"/>
      <c r="R8" s="213"/>
      <c r="S8" s="214"/>
      <c r="T8" s="212">
        <v>11887</v>
      </c>
      <c r="U8" s="213">
        <v>158370</v>
      </c>
      <c r="V8" s="213">
        <v>133895</v>
      </c>
      <c r="W8" s="213">
        <v>15762</v>
      </c>
      <c r="X8" s="213">
        <v>101739</v>
      </c>
      <c r="Y8" s="214">
        <v>25727</v>
      </c>
      <c r="Z8" s="212">
        <v>387</v>
      </c>
      <c r="AA8" s="213">
        <v>349</v>
      </c>
      <c r="AB8" s="213">
        <v>39537</v>
      </c>
      <c r="AC8" s="213">
        <v>39</v>
      </c>
      <c r="AD8" s="213">
        <v>2448</v>
      </c>
      <c r="AE8" s="214"/>
      <c r="AF8" s="212">
        <v>420</v>
      </c>
      <c r="AG8" s="213">
        <v>80</v>
      </c>
      <c r="AH8" s="213">
        <v>4389</v>
      </c>
      <c r="AI8" s="213">
        <v>663</v>
      </c>
      <c r="AJ8" s="213">
        <v>2723</v>
      </c>
      <c r="AK8" s="214">
        <v>7509</v>
      </c>
      <c r="AL8" s="212">
        <v>72444</v>
      </c>
      <c r="AM8" s="213">
        <v>129</v>
      </c>
      <c r="AN8" s="213">
        <v>4971</v>
      </c>
      <c r="AO8" s="213"/>
      <c r="AP8" s="213">
        <v>51359</v>
      </c>
      <c r="AQ8" s="214"/>
      <c r="AR8" s="212">
        <v>272</v>
      </c>
      <c r="AS8" s="213"/>
      <c r="AT8" s="213">
        <v>1566</v>
      </c>
      <c r="AU8" s="213">
        <v>2064</v>
      </c>
      <c r="AV8" s="213">
        <v>4763</v>
      </c>
      <c r="AW8" s="214">
        <v>48</v>
      </c>
      <c r="AX8" s="212">
        <v>3404</v>
      </c>
      <c r="AY8" s="213">
        <v>29443</v>
      </c>
      <c r="AZ8" s="213">
        <v>46998</v>
      </c>
      <c r="BA8" s="213">
        <v>4039</v>
      </c>
      <c r="BB8" s="213">
        <v>35050</v>
      </c>
      <c r="BC8" s="214">
        <v>3399</v>
      </c>
      <c r="BD8" s="212">
        <v>323</v>
      </c>
      <c r="BE8" s="213">
        <v>1630</v>
      </c>
      <c r="BF8" s="213">
        <v>4020</v>
      </c>
      <c r="BG8" s="213">
        <v>785</v>
      </c>
      <c r="BH8" s="213">
        <v>2467</v>
      </c>
      <c r="BI8" s="214">
        <v>2088</v>
      </c>
      <c r="BJ8" s="212">
        <v>73991</v>
      </c>
      <c r="BK8" s="213">
        <v>64732</v>
      </c>
      <c r="BL8" s="213">
        <v>9220</v>
      </c>
      <c r="BM8" s="213">
        <v>111909</v>
      </c>
      <c r="BN8" s="213">
        <v>71615</v>
      </c>
      <c r="BO8" s="214">
        <v>42491</v>
      </c>
      <c r="BP8" s="212">
        <v>107048</v>
      </c>
      <c r="BQ8" s="213">
        <v>105824</v>
      </c>
      <c r="BR8" s="213">
        <v>100101</v>
      </c>
      <c r="BS8" s="213"/>
      <c r="BT8" s="213"/>
      <c r="BU8" s="214">
        <v>1527</v>
      </c>
      <c r="BV8" s="1167">
        <v>397</v>
      </c>
      <c r="BW8" s="1168">
        <v>5911</v>
      </c>
      <c r="BX8" s="1168">
        <v>24172</v>
      </c>
      <c r="BY8" s="1168">
        <v>19</v>
      </c>
      <c r="BZ8" s="1168">
        <v>2918</v>
      </c>
      <c r="CA8" s="1175">
        <v>1</v>
      </c>
      <c r="CB8" s="217">
        <v>3906</v>
      </c>
      <c r="CC8" s="213">
        <v>3027</v>
      </c>
      <c r="CD8" s="213">
        <v>8609</v>
      </c>
      <c r="CE8" s="213"/>
      <c r="CF8" s="213">
        <v>23946</v>
      </c>
      <c r="CG8" s="214"/>
      <c r="CH8" s="217">
        <v>3225</v>
      </c>
      <c r="CI8" s="213">
        <v>47861</v>
      </c>
      <c r="CJ8" s="213">
        <v>27442</v>
      </c>
      <c r="CK8" s="213">
        <v>6234</v>
      </c>
      <c r="CL8" s="213">
        <v>88415</v>
      </c>
      <c r="CM8" s="214">
        <v>2422</v>
      </c>
      <c r="CN8" s="217">
        <v>4164</v>
      </c>
      <c r="CO8" s="213">
        <v>19646</v>
      </c>
      <c r="CP8" s="213">
        <v>24201</v>
      </c>
      <c r="CQ8" s="213">
        <v>1591</v>
      </c>
      <c r="CR8" s="213">
        <v>98008</v>
      </c>
      <c r="CS8" s="214">
        <v>51</v>
      </c>
      <c r="CT8" s="217">
        <v>3372</v>
      </c>
      <c r="CU8" s="213">
        <v>1834</v>
      </c>
      <c r="CV8" s="213">
        <v>50554</v>
      </c>
      <c r="CW8" s="213">
        <v>284</v>
      </c>
      <c r="CX8" s="213">
        <v>25074</v>
      </c>
      <c r="CY8" s="214">
        <v>23</v>
      </c>
      <c r="CZ8" s="217">
        <v>2069</v>
      </c>
      <c r="DA8" s="213">
        <v>17969</v>
      </c>
      <c r="DB8" s="213">
        <v>80791</v>
      </c>
      <c r="DC8" s="213">
        <v>1392</v>
      </c>
      <c r="DD8" s="213">
        <v>101019</v>
      </c>
      <c r="DE8" s="214">
        <v>99</v>
      </c>
      <c r="DF8" s="1228"/>
      <c r="DG8" s="213"/>
      <c r="DH8" s="213"/>
      <c r="DI8" s="213"/>
      <c r="DJ8" s="213"/>
      <c r="DK8" s="214"/>
      <c r="DL8" s="1229">
        <v>12206</v>
      </c>
      <c r="DM8" s="1180">
        <v>176542</v>
      </c>
      <c r="DN8" s="1189">
        <v>69398</v>
      </c>
      <c r="DO8" s="1189">
        <v>129380</v>
      </c>
      <c r="DP8" s="1189">
        <v>50690</v>
      </c>
      <c r="DQ8" s="1190">
        <v>39878</v>
      </c>
      <c r="DR8" s="1230">
        <v>921</v>
      </c>
      <c r="DS8" s="658">
        <v>1034</v>
      </c>
      <c r="DT8" s="658">
        <v>2225</v>
      </c>
      <c r="DU8" s="658">
        <v>232</v>
      </c>
      <c r="DV8" s="658">
        <v>2815</v>
      </c>
      <c r="DW8" s="1163"/>
      <c r="DX8" s="1164">
        <v>2102</v>
      </c>
      <c r="DY8" s="1165">
        <v>3077</v>
      </c>
      <c r="DZ8" s="1165">
        <v>2079</v>
      </c>
      <c r="EA8" s="1165">
        <v>1338</v>
      </c>
      <c r="EB8" s="1165">
        <v>16599</v>
      </c>
      <c r="EC8" s="1231">
        <v>1510</v>
      </c>
      <c r="ED8" s="217">
        <v>2954</v>
      </c>
      <c r="EE8" s="213">
        <v>19784</v>
      </c>
      <c r="EF8" s="213">
        <v>348106</v>
      </c>
      <c r="EG8" s="213">
        <v>3539</v>
      </c>
      <c r="EH8" s="213">
        <v>39168</v>
      </c>
      <c r="EI8" s="579">
        <v>231090</v>
      </c>
      <c r="EJ8" s="1164"/>
      <c r="EK8" s="1165"/>
      <c r="EL8" s="1165"/>
      <c r="EM8" s="1165"/>
      <c r="EN8" s="1165"/>
      <c r="EO8" s="1166"/>
    </row>
    <row r="9" spans="1:145" s="1169" customFormat="1" ht="18">
      <c r="A9" s="797" t="s">
        <v>131</v>
      </c>
      <c r="B9" s="795">
        <v>108</v>
      </c>
      <c r="C9" s="210"/>
      <c r="D9" s="210"/>
      <c r="E9" s="210"/>
      <c r="F9" s="210"/>
      <c r="G9" s="211"/>
      <c r="H9" s="212"/>
      <c r="I9" s="213"/>
      <c r="J9" s="213">
        <v>2</v>
      </c>
      <c r="K9" s="213"/>
      <c r="L9" s="213"/>
      <c r="M9" s="214">
        <v>3</v>
      </c>
      <c r="N9" s="217"/>
      <c r="O9" s="213"/>
      <c r="P9" s="213"/>
      <c r="Q9" s="213"/>
      <c r="R9" s="213"/>
      <c r="S9" s="214"/>
      <c r="T9" s="212">
        <v>237</v>
      </c>
      <c r="U9" s="213"/>
      <c r="V9" s="213"/>
      <c r="W9" s="213"/>
      <c r="X9" s="213"/>
      <c r="Y9" s="214">
        <v>63</v>
      </c>
      <c r="Z9" s="212">
        <v>12</v>
      </c>
      <c r="AA9" s="213"/>
      <c r="AB9" s="213"/>
      <c r="AC9" s="213"/>
      <c r="AD9" s="213"/>
      <c r="AE9" s="214"/>
      <c r="AF9" s="212">
        <v>6</v>
      </c>
      <c r="AG9" s="213"/>
      <c r="AH9" s="213"/>
      <c r="AI9" s="213"/>
      <c r="AJ9" s="213"/>
      <c r="AK9" s="214"/>
      <c r="AL9" s="212">
        <v>255</v>
      </c>
      <c r="AM9" s="213"/>
      <c r="AN9" s="213"/>
      <c r="AO9" s="213"/>
      <c r="AP9" s="213"/>
      <c r="AQ9" s="214"/>
      <c r="AR9" s="212">
        <v>54</v>
      </c>
      <c r="AS9" s="213"/>
      <c r="AT9" s="213"/>
      <c r="AU9" s="213"/>
      <c r="AV9" s="213"/>
      <c r="AW9" s="214">
        <v>7</v>
      </c>
      <c r="AX9" s="212">
        <v>26</v>
      </c>
      <c r="AY9" s="213"/>
      <c r="AZ9" s="213"/>
      <c r="BA9" s="213"/>
      <c r="BB9" s="213"/>
      <c r="BC9" s="214">
        <v>17</v>
      </c>
      <c r="BD9" s="212">
        <v>19</v>
      </c>
      <c r="BE9" s="213"/>
      <c r="BF9" s="213"/>
      <c r="BG9" s="213"/>
      <c r="BH9" s="213"/>
      <c r="BI9" s="214">
        <v>1</v>
      </c>
      <c r="BJ9" s="212">
        <v>128</v>
      </c>
      <c r="BK9" s="213"/>
      <c r="BL9" s="213"/>
      <c r="BM9" s="213"/>
      <c r="BN9" s="213"/>
      <c r="BO9" s="214">
        <v>16</v>
      </c>
      <c r="BP9" s="212">
        <v>175</v>
      </c>
      <c r="BQ9" s="213"/>
      <c r="BR9" s="213"/>
      <c r="BS9" s="213"/>
      <c r="BT9" s="213"/>
      <c r="BU9" s="214">
        <v>28</v>
      </c>
      <c r="BV9" s="1167">
        <v>13</v>
      </c>
      <c r="BW9" s="1168"/>
      <c r="BX9" s="1168"/>
      <c r="BY9" s="1168"/>
      <c r="BZ9" s="1168">
        <v>216</v>
      </c>
      <c r="CA9" s="1175"/>
      <c r="CB9" s="217">
        <v>45</v>
      </c>
      <c r="CC9" s="213"/>
      <c r="CD9" s="213"/>
      <c r="CE9" s="213"/>
      <c r="CF9" s="213"/>
      <c r="CG9" s="214"/>
      <c r="CH9" s="1093">
        <v>112</v>
      </c>
      <c r="CI9" s="215"/>
      <c r="CJ9" s="215"/>
      <c r="CK9" s="215"/>
      <c r="CL9" s="215"/>
      <c r="CM9" s="216"/>
      <c r="CN9" s="217"/>
      <c r="CO9" s="213"/>
      <c r="CP9" s="213"/>
      <c r="CQ9" s="213"/>
      <c r="CR9" s="213"/>
      <c r="CS9" s="214"/>
      <c r="CT9" s="217">
        <v>9</v>
      </c>
      <c r="CU9" s="213"/>
      <c r="CV9" s="213"/>
      <c r="CW9" s="213"/>
      <c r="CX9" s="213"/>
      <c r="CY9" s="214">
        <v>1</v>
      </c>
      <c r="CZ9" s="217">
        <v>20</v>
      </c>
      <c r="DA9" s="213"/>
      <c r="DB9" s="213"/>
      <c r="DC9" s="213"/>
      <c r="DD9" s="213"/>
      <c r="DE9" s="214">
        <v>81</v>
      </c>
      <c r="DF9" s="1228"/>
      <c r="DG9" s="213"/>
      <c r="DH9" s="213"/>
      <c r="DI9" s="213"/>
      <c r="DJ9" s="213"/>
      <c r="DK9" s="214"/>
      <c r="DL9" s="1229">
        <v>416</v>
      </c>
      <c r="DM9" s="1189"/>
      <c r="DN9" s="1189"/>
      <c r="DO9" s="1189"/>
      <c r="DP9" s="1189"/>
      <c r="DQ9" s="1190"/>
      <c r="DR9" s="1230">
        <v>24</v>
      </c>
      <c r="DS9" s="658"/>
      <c r="DT9" s="658"/>
      <c r="DU9" s="658"/>
      <c r="DV9" s="658"/>
      <c r="DW9" s="1163"/>
      <c r="DX9" s="1164">
        <v>22</v>
      </c>
      <c r="DY9" s="1165"/>
      <c r="DZ9" s="1165"/>
      <c r="EA9" s="1165"/>
      <c r="EB9" s="1165"/>
      <c r="EC9" s="1231">
        <v>12</v>
      </c>
      <c r="ED9" s="217">
        <v>28</v>
      </c>
      <c r="EE9" s="213"/>
      <c r="EF9" s="213"/>
      <c r="EG9" s="213"/>
      <c r="EH9" s="213"/>
      <c r="EI9" s="579"/>
      <c r="EJ9" s="217"/>
      <c r="EK9" s="213"/>
      <c r="EL9" s="213"/>
      <c r="EM9" s="213"/>
      <c r="EN9" s="213"/>
      <c r="EO9" s="214"/>
    </row>
    <row r="10" spans="1:145" ht="16.5">
      <c r="A10" s="798" t="s">
        <v>132</v>
      </c>
      <c r="B10" s="794">
        <v>107</v>
      </c>
      <c r="C10" s="195"/>
      <c r="D10" s="195"/>
      <c r="E10" s="195"/>
      <c r="F10" s="195"/>
      <c r="G10" s="196"/>
      <c r="H10" s="197"/>
      <c r="I10" s="198"/>
      <c r="J10" s="198"/>
      <c r="K10" s="198"/>
      <c r="L10" s="198"/>
      <c r="M10" s="199">
        <v>1</v>
      </c>
      <c r="N10" s="207"/>
      <c r="O10" s="198"/>
      <c r="P10" s="198"/>
      <c r="Q10" s="198"/>
      <c r="R10" s="198"/>
      <c r="S10" s="199"/>
      <c r="T10" s="197">
        <v>237</v>
      </c>
      <c r="U10" s="198"/>
      <c r="V10" s="198"/>
      <c r="W10" s="198"/>
      <c r="X10" s="198"/>
      <c r="Y10" s="199">
        <v>63</v>
      </c>
      <c r="Z10" s="197">
        <v>12</v>
      </c>
      <c r="AA10" s="198"/>
      <c r="AB10" s="198"/>
      <c r="AC10" s="198"/>
      <c r="AD10" s="198"/>
      <c r="AE10" s="199"/>
      <c r="AF10" s="197">
        <v>6</v>
      </c>
      <c r="AG10" s="198"/>
      <c r="AH10" s="198"/>
      <c r="AI10" s="198"/>
      <c r="AJ10" s="198"/>
      <c r="AK10" s="199"/>
      <c r="AL10" s="197">
        <v>253</v>
      </c>
      <c r="AM10" s="198"/>
      <c r="AN10" s="198"/>
      <c r="AO10" s="198"/>
      <c r="AP10" s="198"/>
      <c r="AQ10" s="199"/>
      <c r="AR10" s="197">
        <v>53</v>
      </c>
      <c r="AS10" s="198"/>
      <c r="AT10" s="198"/>
      <c r="AU10" s="198"/>
      <c r="AV10" s="198"/>
      <c r="AW10" s="199">
        <v>3</v>
      </c>
      <c r="AX10" s="197">
        <v>24</v>
      </c>
      <c r="AY10" s="198"/>
      <c r="AZ10" s="198"/>
      <c r="BA10" s="198"/>
      <c r="BB10" s="198"/>
      <c r="BC10" s="199">
        <v>17</v>
      </c>
      <c r="BD10" s="197">
        <v>19</v>
      </c>
      <c r="BE10" s="198"/>
      <c r="BF10" s="198"/>
      <c r="BG10" s="198"/>
      <c r="BH10" s="198"/>
      <c r="BI10" s="199">
        <v>1</v>
      </c>
      <c r="BJ10" s="197">
        <v>117</v>
      </c>
      <c r="BK10" s="198"/>
      <c r="BL10" s="198"/>
      <c r="BM10" s="198"/>
      <c r="BN10" s="198"/>
      <c r="BO10" s="199">
        <v>13</v>
      </c>
      <c r="BP10" s="197">
        <v>171</v>
      </c>
      <c r="BQ10" s="198"/>
      <c r="BR10" s="198"/>
      <c r="BS10" s="198"/>
      <c r="BT10" s="198"/>
      <c r="BU10" s="199">
        <v>28</v>
      </c>
      <c r="BV10" s="207">
        <v>12</v>
      </c>
      <c r="BW10" s="198"/>
      <c r="BX10" s="198"/>
      <c r="BY10" s="198"/>
      <c r="BZ10" s="198">
        <v>46</v>
      </c>
      <c r="CA10" s="199"/>
      <c r="CB10" s="207">
        <v>42</v>
      </c>
      <c r="CC10" s="198"/>
      <c r="CD10" s="198"/>
      <c r="CE10" s="198"/>
      <c r="CF10" s="198"/>
      <c r="CG10" s="199"/>
      <c r="CH10" s="207">
        <v>105</v>
      </c>
      <c r="CI10" s="198"/>
      <c r="CJ10" s="198"/>
      <c r="CK10" s="198"/>
      <c r="CL10" s="198"/>
      <c r="CM10" s="199"/>
      <c r="CN10" s="207">
        <v>15</v>
      </c>
      <c r="CO10" s="198"/>
      <c r="CP10" s="198"/>
      <c r="CQ10" s="198"/>
      <c r="CR10" s="198"/>
      <c r="CS10" s="199">
        <v>5</v>
      </c>
      <c r="CT10" s="207">
        <v>9</v>
      </c>
      <c r="CU10" s="198"/>
      <c r="CV10" s="198"/>
      <c r="CW10" s="198"/>
      <c r="CX10" s="198"/>
      <c r="CY10" s="199">
        <v>1</v>
      </c>
      <c r="CZ10" s="207">
        <v>19</v>
      </c>
      <c r="DA10" s="198"/>
      <c r="DB10" s="198"/>
      <c r="DC10" s="198"/>
      <c r="DD10" s="198"/>
      <c r="DE10" s="199">
        <v>59</v>
      </c>
      <c r="DF10" s="1091"/>
      <c r="DG10" s="198"/>
      <c r="DH10" s="198"/>
      <c r="DI10" s="198"/>
      <c r="DJ10" s="198"/>
      <c r="DK10" s="199"/>
      <c r="DL10" s="237">
        <v>391</v>
      </c>
      <c r="DM10" s="238"/>
      <c r="DN10" s="238"/>
      <c r="DO10" s="238"/>
      <c r="DP10" s="238"/>
      <c r="DQ10" s="233"/>
      <c r="DR10" s="1092">
        <v>24</v>
      </c>
      <c r="DS10" s="202"/>
      <c r="DT10" s="202"/>
      <c r="DU10" s="202"/>
      <c r="DV10" s="202"/>
      <c r="DW10" s="203"/>
      <c r="DX10" s="204">
        <v>22</v>
      </c>
      <c r="DY10" s="205"/>
      <c r="DZ10" s="205"/>
      <c r="EA10" s="205"/>
      <c r="EB10" s="205"/>
      <c r="EC10" s="847">
        <v>12</v>
      </c>
      <c r="ED10" s="207">
        <v>27</v>
      </c>
      <c r="EE10" s="198"/>
      <c r="EF10" s="198"/>
      <c r="EG10" s="198"/>
      <c r="EH10" s="198"/>
      <c r="EI10" s="577"/>
      <c r="EJ10" s="204"/>
      <c r="EK10" s="205"/>
      <c r="EL10" s="205"/>
      <c r="EM10" s="205"/>
      <c r="EN10" s="198"/>
      <c r="EO10" s="199"/>
    </row>
    <row r="11" spans="1:145" ht="16.5">
      <c r="A11" s="798" t="s">
        <v>133</v>
      </c>
      <c r="B11" s="794">
        <v>1</v>
      </c>
      <c r="C11" s="195"/>
      <c r="D11" s="195"/>
      <c r="E11" s="195"/>
      <c r="F11" s="195"/>
      <c r="G11" s="196"/>
      <c r="H11" s="197"/>
      <c r="I11" s="198"/>
      <c r="J11" s="198"/>
      <c r="K11" s="198"/>
      <c r="L11" s="198"/>
      <c r="M11" s="199">
        <v>2</v>
      </c>
      <c r="N11" s="207"/>
      <c r="O11" s="198"/>
      <c r="P11" s="198"/>
      <c r="Q11" s="198"/>
      <c r="R11" s="198"/>
      <c r="S11" s="199"/>
      <c r="T11" s="197"/>
      <c r="U11" s="198"/>
      <c r="V11" s="198"/>
      <c r="W11" s="198"/>
      <c r="X11" s="198"/>
      <c r="Y11" s="199"/>
      <c r="Z11" s="197"/>
      <c r="AA11" s="198"/>
      <c r="AB11" s="198"/>
      <c r="AC11" s="198"/>
      <c r="AD11" s="198"/>
      <c r="AE11" s="199"/>
      <c r="AF11" s="197"/>
      <c r="AG11" s="198"/>
      <c r="AH11" s="198"/>
      <c r="AI11" s="198"/>
      <c r="AJ11" s="198"/>
      <c r="AK11" s="199"/>
      <c r="AL11" s="197">
        <v>2</v>
      </c>
      <c r="AM11" s="198"/>
      <c r="AN11" s="198"/>
      <c r="AO11" s="198"/>
      <c r="AP11" s="198"/>
      <c r="AQ11" s="199"/>
      <c r="AR11" s="197">
        <v>1</v>
      </c>
      <c r="AS11" s="198"/>
      <c r="AT11" s="198"/>
      <c r="AU11" s="198"/>
      <c r="AV11" s="198"/>
      <c r="AW11" s="199"/>
      <c r="AX11" s="197">
        <v>2</v>
      </c>
      <c r="AY11" s="198"/>
      <c r="AZ11" s="198"/>
      <c r="BA11" s="198"/>
      <c r="BB11" s="198"/>
      <c r="BC11" s="199"/>
      <c r="BD11" s="197"/>
      <c r="BE11" s="198"/>
      <c r="BF11" s="198"/>
      <c r="BG11" s="198"/>
      <c r="BH11" s="198"/>
      <c r="BI11" s="199"/>
      <c r="BJ11" s="197">
        <v>11</v>
      </c>
      <c r="BK11" s="198"/>
      <c r="BL11" s="198"/>
      <c r="BM11" s="198"/>
      <c r="BN11" s="198"/>
      <c r="BO11" s="199">
        <v>3</v>
      </c>
      <c r="BP11" s="197">
        <v>4</v>
      </c>
      <c r="BQ11" s="198"/>
      <c r="BR11" s="198"/>
      <c r="BS11" s="198"/>
      <c r="BT11" s="198"/>
      <c r="BU11" s="199"/>
      <c r="BV11" s="207">
        <v>1</v>
      </c>
      <c r="BW11" s="198"/>
      <c r="BX11" s="198"/>
      <c r="BY11" s="198"/>
      <c r="BZ11" s="198">
        <v>170</v>
      </c>
      <c r="CA11" s="199"/>
      <c r="CB11" s="207">
        <v>3</v>
      </c>
      <c r="CC11" s="198"/>
      <c r="CD11" s="198"/>
      <c r="CE11" s="198"/>
      <c r="CF11" s="198"/>
      <c r="CG11" s="199"/>
      <c r="CH11" s="207">
        <v>7</v>
      </c>
      <c r="CI11" s="198"/>
      <c r="CJ11" s="198"/>
      <c r="CK11" s="198"/>
      <c r="CL11" s="198"/>
      <c r="CM11" s="199"/>
      <c r="CN11" s="207">
        <v>15</v>
      </c>
      <c r="CO11" s="198"/>
      <c r="CP11" s="198"/>
      <c r="CQ11" s="198"/>
      <c r="CR11" s="198"/>
      <c r="CS11" s="199">
        <v>5</v>
      </c>
      <c r="CT11" s="207"/>
      <c r="CU11" s="198"/>
      <c r="CV11" s="198"/>
      <c r="CW11" s="198"/>
      <c r="CX11" s="198"/>
      <c r="CY11" s="199"/>
      <c r="CZ11" s="207">
        <v>1</v>
      </c>
      <c r="DA11" s="198"/>
      <c r="DB11" s="198"/>
      <c r="DC11" s="198"/>
      <c r="DD11" s="198"/>
      <c r="DE11" s="199">
        <v>22</v>
      </c>
      <c r="DF11" s="1091"/>
      <c r="DG11" s="198"/>
      <c r="DH11" s="198"/>
      <c r="DI11" s="198"/>
      <c r="DJ11" s="198"/>
      <c r="DK11" s="199"/>
      <c r="DL11" s="237">
        <v>25</v>
      </c>
      <c r="DM11" s="238"/>
      <c r="DN11" s="238"/>
      <c r="DO11" s="238"/>
      <c r="DP11" s="238"/>
      <c r="DQ11" s="233"/>
      <c r="DR11" s="1092"/>
      <c r="DS11" s="202"/>
      <c r="DT11" s="202"/>
      <c r="DU11" s="202"/>
      <c r="DV11" s="202"/>
      <c r="DW11" s="203"/>
      <c r="DX11" s="204"/>
      <c r="DY11" s="205"/>
      <c r="DZ11" s="205"/>
      <c r="EA11" s="205"/>
      <c r="EB11" s="205"/>
      <c r="EC11" s="847"/>
      <c r="ED11" s="207">
        <v>1</v>
      </c>
      <c r="EE11" s="198"/>
      <c r="EF11" s="198"/>
      <c r="EG11" s="198"/>
      <c r="EH11" s="198"/>
      <c r="EI11" s="577"/>
      <c r="EJ11" s="204"/>
      <c r="EK11" s="205"/>
      <c r="EL11" s="205"/>
      <c r="EM11" s="205"/>
      <c r="EN11" s="198"/>
      <c r="EO11" s="199"/>
    </row>
    <row r="12" spans="1:145" ht="16.5">
      <c r="A12" s="798" t="s">
        <v>134</v>
      </c>
      <c r="B12" s="794"/>
      <c r="C12" s="195"/>
      <c r="D12" s="195"/>
      <c r="E12" s="195"/>
      <c r="F12" s="195"/>
      <c r="G12" s="196"/>
      <c r="H12" s="197"/>
      <c r="I12" s="198"/>
      <c r="J12" s="198"/>
      <c r="K12" s="198"/>
      <c r="L12" s="198"/>
      <c r="M12" s="199"/>
      <c r="N12" s="207"/>
      <c r="O12" s="198"/>
      <c r="P12" s="198"/>
      <c r="Q12" s="198"/>
      <c r="R12" s="198"/>
      <c r="S12" s="199"/>
      <c r="T12" s="197"/>
      <c r="U12" s="198"/>
      <c r="V12" s="198"/>
      <c r="W12" s="198"/>
      <c r="X12" s="198"/>
      <c r="Y12" s="199"/>
      <c r="Z12" s="197"/>
      <c r="AA12" s="198"/>
      <c r="AB12" s="198"/>
      <c r="AC12" s="198"/>
      <c r="AD12" s="198"/>
      <c r="AE12" s="199"/>
      <c r="AF12" s="197"/>
      <c r="AG12" s="198"/>
      <c r="AH12" s="198"/>
      <c r="AI12" s="198"/>
      <c r="AJ12" s="198"/>
      <c r="AK12" s="199"/>
      <c r="AL12" s="197"/>
      <c r="AM12" s="198"/>
      <c r="AN12" s="198"/>
      <c r="AO12" s="198"/>
      <c r="AP12" s="198"/>
      <c r="AQ12" s="199"/>
      <c r="AR12" s="197"/>
      <c r="AS12" s="198"/>
      <c r="AT12" s="198"/>
      <c r="AU12" s="198"/>
      <c r="AV12" s="198"/>
      <c r="AW12" s="199"/>
      <c r="AX12" s="197"/>
      <c r="AY12" s="198"/>
      <c r="AZ12" s="198"/>
      <c r="BA12" s="198"/>
      <c r="BB12" s="198"/>
      <c r="BC12" s="199"/>
      <c r="BD12" s="197"/>
      <c r="BE12" s="198"/>
      <c r="BF12" s="198"/>
      <c r="BG12" s="198"/>
      <c r="BH12" s="198"/>
      <c r="BI12" s="199"/>
      <c r="BJ12" s="197">
        <v>4</v>
      </c>
      <c r="BK12" s="198"/>
      <c r="BL12" s="198"/>
      <c r="BM12" s="198"/>
      <c r="BN12" s="198"/>
      <c r="BO12" s="199">
        <v>19</v>
      </c>
      <c r="BP12" s="197">
        <v>8</v>
      </c>
      <c r="BQ12" s="198"/>
      <c r="BR12" s="198"/>
      <c r="BS12" s="198"/>
      <c r="BT12" s="198"/>
      <c r="BU12" s="199"/>
      <c r="BV12" s="207"/>
      <c r="BW12" s="198"/>
      <c r="BX12" s="198"/>
      <c r="BY12" s="198"/>
      <c r="BZ12" s="198"/>
      <c r="CA12" s="199"/>
      <c r="CB12" s="207"/>
      <c r="CC12" s="198"/>
      <c r="CD12" s="198"/>
      <c r="CE12" s="198"/>
      <c r="CF12" s="198"/>
      <c r="CG12" s="199"/>
      <c r="CH12" s="207"/>
      <c r="CI12" s="198"/>
      <c r="CJ12" s="198"/>
      <c r="CK12" s="198"/>
      <c r="CL12" s="198"/>
      <c r="CM12" s="199"/>
      <c r="CN12" s="207"/>
      <c r="CO12" s="198"/>
      <c r="CP12" s="198"/>
      <c r="CQ12" s="198"/>
      <c r="CR12" s="198"/>
      <c r="CS12" s="199">
        <v>19</v>
      </c>
      <c r="CT12" s="207"/>
      <c r="CU12" s="198"/>
      <c r="CV12" s="198"/>
      <c r="CW12" s="198"/>
      <c r="CX12" s="198"/>
      <c r="CY12" s="199">
        <v>4</v>
      </c>
      <c r="CZ12" s="207"/>
      <c r="DA12" s="198"/>
      <c r="DB12" s="198"/>
      <c r="DC12" s="198"/>
      <c r="DD12" s="198"/>
      <c r="DE12" s="199"/>
      <c r="DF12" s="1091"/>
      <c r="DG12" s="198"/>
      <c r="DH12" s="198"/>
      <c r="DI12" s="198"/>
      <c r="DJ12" s="198"/>
      <c r="DK12" s="199"/>
      <c r="DL12" s="237"/>
      <c r="DM12" s="238"/>
      <c r="DN12" s="238"/>
      <c r="DO12" s="238"/>
      <c r="DP12" s="238"/>
      <c r="DQ12" s="233"/>
      <c r="DR12" s="1092"/>
      <c r="DS12" s="202"/>
      <c r="DT12" s="202"/>
      <c r="DU12" s="202"/>
      <c r="DV12" s="202"/>
      <c r="DW12" s="203"/>
      <c r="DX12" s="204">
        <v>142</v>
      </c>
      <c r="DY12" s="205"/>
      <c r="DZ12" s="205"/>
      <c r="EA12" s="205"/>
      <c r="EB12" s="205"/>
      <c r="EC12" s="847">
        <v>37</v>
      </c>
      <c r="ED12" s="207"/>
      <c r="EE12" s="198"/>
      <c r="EF12" s="198"/>
      <c r="EG12" s="198"/>
      <c r="EH12" s="198"/>
      <c r="EI12" s="577"/>
      <c r="EJ12" s="204"/>
      <c r="EK12" s="205"/>
      <c r="EL12" s="205"/>
      <c r="EM12" s="205"/>
      <c r="EN12" s="198"/>
      <c r="EO12" s="199"/>
    </row>
    <row r="13" spans="1:145" ht="16.5">
      <c r="A13" s="798" t="s">
        <v>135</v>
      </c>
      <c r="B13" s="794"/>
      <c r="C13" s="195"/>
      <c r="D13" s="195"/>
      <c r="E13" s="195"/>
      <c r="F13" s="195"/>
      <c r="G13" s="196"/>
      <c r="H13" s="197"/>
      <c r="I13" s="198"/>
      <c r="J13" s="198"/>
      <c r="K13" s="198"/>
      <c r="L13" s="198"/>
      <c r="M13" s="199"/>
      <c r="N13" s="207"/>
      <c r="O13" s="198"/>
      <c r="P13" s="198"/>
      <c r="Q13" s="198"/>
      <c r="R13" s="198"/>
      <c r="S13" s="199"/>
      <c r="T13" s="197"/>
      <c r="U13" s="198"/>
      <c r="V13" s="198"/>
      <c r="W13" s="198"/>
      <c r="X13" s="198"/>
      <c r="Y13" s="199"/>
      <c r="Z13" s="197"/>
      <c r="AA13" s="198"/>
      <c r="AB13" s="198"/>
      <c r="AC13" s="198"/>
      <c r="AD13" s="198"/>
      <c r="AE13" s="199"/>
      <c r="AF13" s="197"/>
      <c r="AG13" s="198"/>
      <c r="AH13" s="198"/>
      <c r="AI13" s="198"/>
      <c r="AJ13" s="198"/>
      <c r="AK13" s="199"/>
      <c r="AL13" s="197"/>
      <c r="AM13" s="198">
        <v>1</v>
      </c>
      <c r="AN13" s="198"/>
      <c r="AO13" s="198"/>
      <c r="AP13" s="198"/>
      <c r="AQ13" s="199"/>
      <c r="AR13" s="197"/>
      <c r="AS13" s="198"/>
      <c r="AT13" s="198"/>
      <c r="AU13" s="198"/>
      <c r="AV13" s="198"/>
      <c r="AW13" s="199"/>
      <c r="AX13" s="197"/>
      <c r="AY13" s="198"/>
      <c r="AZ13" s="198"/>
      <c r="BA13" s="198"/>
      <c r="BB13" s="198"/>
      <c r="BC13" s="199">
        <v>35</v>
      </c>
      <c r="BD13" s="197"/>
      <c r="BE13" s="198"/>
      <c r="BF13" s="198"/>
      <c r="BG13" s="198"/>
      <c r="BH13" s="198"/>
      <c r="BI13" s="199"/>
      <c r="BJ13" s="197"/>
      <c r="BK13" s="198"/>
      <c r="BL13" s="198"/>
      <c r="BM13" s="198"/>
      <c r="BN13" s="198"/>
      <c r="BO13" s="199"/>
      <c r="BP13" s="197"/>
      <c r="BQ13" s="198"/>
      <c r="BR13" s="198"/>
      <c r="BS13" s="198"/>
      <c r="BT13" s="198"/>
      <c r="BU13" s="199"/>
      <c r="BV13" s="581"/>
      <c r="BW13" s="200"/>
      <c r="BX13" s="200"/>
      <c r="BY13" s="200"/>
      <c r="BZ13" s="200"/>
      <c r="CA13" s="977"/>
      <c r="CB13" s="207"/>
      <c r="CC13" s="198"/>
      <c r="CD13" s="198"/>
      <c r="CE13" s="198"/>
      <c r="CF13" s="198"/>
      <c r="CG13" s="199"/>
      <c r="CH13" s="1221"/>
      <c r="CI13" s="657"/>
      <c r="CJ13" s="657"/>
      <c r="CK13" s="657"/>
      <c r="CL13" s="657"/>
      <c r="CM13" s="1170"/>
      <c r="CN13" s="207"/>
      <c r="CO13" s="198"/>
      <c r="CP13" s="198"/>
      <c r="CQ13" s="198"/>
      <c r="CR13" s="198"/>
      <c r="CS13" s="199"/>
      <c r="CT13" s="207"/>
      <c r="CU13" s="198"/>
      <c r="CV13" s="198"/>
      <c r="CW13" s="198"/>
      <c r="CX13" s="198"/>
      <c r="CY13" s="199"/>
      <c r="CZ13" s="207"/>
      <c r="DA13" s="198"/>
      <c r="DB13" s="198"/>
      <c r="DC13" s="198"/>
      <c r="DD13" s="198"/>
      <c r="DE13" s="199"/>
      <c r="DF13" s="1091"/>
      <c r="DG13" s="198"/>
      <c r="DH13" s="198"/>
      <c r="DI13" s="198"/>
      <c r="DJ13" s="198"/>
      <c r="DK13" s="199"/>
      <c r="DL13" s="237"/>
      <c r="DM13" s="238"/>
      <c r="DN13" s="238"/>
      <c r="DO13" s="238"/>
      <c r="DP13" s="238"/>
      <c r="DQ13" s="233"/>
      <c r="DR13" s="1092"/>
      <c r="DS13" s="202"/>
      <c r="DT13" s="202"/>
      <c r="DU13" s="202"/>
      <c r="DV13" s="202"/>
      <c r="DW13" s="203"/>
      <c r="DX13" s="204"/>
      <c r="DY13" s="205"/>
      <c r="DZ13" s="205"/>
      <c r="EA13" s="205"/>
      <c r="EB13" s="205"/>
      <c r="EC13" s="847"/>
      <c r="ED13" s="207"/>
      <c r="EE13" s="198"/>
      <c r="EF13" s="198"/>
      <c r="EG13" s="198"/>
      <c r="EH13" s="198"/>
      <c r="EI13" s="577"/>
      <c r="EJ13" s="207"/>
      <c r="EK13" s="198"/>
      <c r="EL13" s="198"/>
      <c r="EM13" s="198"/>
      <c r="EN13" s="198"/>
      <c r="EO13" s="199"/>
    </row>
    <row r="14" spans="1:145" ht="16.5">
      <c r="A14" s="798" t="s">
        <v>136</v>
      </c>
      <c r="B14" s="794"/>
      <c r="C14" s="195"/>
      <c r="D14" s="195"/>
      <c r="E14" s="195"/>
      <c r="F14" s="195"/>
      <c r="G14" s="196"/>
      <c r="H14" s="197"/>
      <c r="I14" s="198"/>
      <c r="J14" s="198"/>
      <c r="K14" s="198"/>
      <c r="L14" s="198"/>
      <c r="M14" s="199"/>
      <c r="N14" s="207"/>
      <c r="O14" s="198"/>
      <c r="P14" s="198"/>
      <c r="Q14" s="198"/>
      <c r="R14" s="198"/>
      <c r="S14" s="199"/>
      <c r="T14" s="197"/>
      <c r="U14" s="198"/>
      <c r="V14" s="198"/>
      <c r="W14" s="198"/>
      <c r="X14" s="198"/>
      <c r="Y14" s="199"/>
      <c r="Z14" s="197"/>
      <c r="AA14" s="198"/>
      <c r="AB14" s="198"/>
      <c r="AC14" s="198"/>
      <c r="AD14" s="198"/>
      <c r="AE14" s="199"/>
      <c r="AF14" s="197"/>
      <c r="AG14" s="198"/>
      <c r="AH14" s="198"/>
      <c r="AI14" s="198"/>
      <c r="AJ14" s="198"/>
      <c r="AK14" s="199"/>
      <c r="AL14" s="197"/>
      <c r="AM14" s="198"/>
      <c r="AN14" s="198"/>
      <c r="AO14" s="198"/>
      <c r="AP14" s="198"/>
      <c r="AQ14" s="199"/>
      <c r="AR14" s="197"/>
      <c r="AS14" s="198"/>
      <c r="AT14" s="198"/>
      <c r="AU14" s="198"/>
      <c r="AV14" s="198"/>
      <c r="AW14" s="199"/>
      <c r="AX14" s="197"/>
      <c r="AY14" s="198">
        <v>14</v>
      </c>
      <c r="AZ14" s="198">
        <v>33</v>
      </c>
      <c r="BA14" s="198">
        <v>584</v>
      </c>
      <c r="BB14" s="198">
        <v>4</v>
      </c>
      <c r="BC14" s="199"/>
      <c r="BD14" s="197"/>
      <c r="BE14" s="198"/>
      <c r="BF14" s="198"/>
      <c r="BG14" s="198"/>
      <c r="BH14" s="198"/>
      <c r="BI14" s="199"/>
      <c r="BJ14" s="197"/>
      <c r="BK14" s="198"/>
      <c r="BL14" s="198"/>
      <c r="BM14" s="198"/>
      <c r="BN14" s="198"/>
      <c r="BO14" s="199"/>
      <c r="BP14" s="197"/>
      <c r="BQ14" s="198"/>
      <c r="BR14" s="198"/>
      <c r="BS14" s="198"/>
      <c r="BT14" s="198"/>
      <c r="BU14" s="199"/>
      <c r="BV14" s="581"/>
      <c r="BW14" s="200"/>
      <c r="BX14" s="200"/>
      <c r="BY14" s="200"/>
      <c r="BZ14" s="200"/>
      <c r="CA14" s="977"/>
      <c r="CB14" s="207"/>
      <c r="CC14" s="198"/>
      <c r="CD14" s="198"/>
      <c r="CE14" s="198"/>
      <c r="CF14" s="198"/>
      <c r="CG14" s="199"/>
      <c r="CH14" s="1221"/>
      <c r="CI14" s="657"/>
      <c r="CJ14" s="657"/>
      <c r="CK14" s="657"/>
      <c r="CL14" s="657"/>
      <c r="CM14" s="1170"/>
      <c r="CN14" s="207"/>
      <c r="CO14" s="198"/>
      <c r="CP14" s="198"/>
      <c r="CQ14" s="198"/>
      <c r="CR14" s="198"/>
      <c r="CS14" s="199"/>
      <c r="CT14" s="207"/>
      <c r="CU14" s="198"/>
      <c r="CV14" s="198"/>
      <c r="CW14" s="198"/>
      <c r="CX14" s="198"/>
      <c r="CY14" s="199"/>
      <c r="CZ14" s="207"/>
      <c r="DA14" s="198"/>
      <c r="DB14" s="198"/>
      <c r="DC14" s="198"/>
      <c r="DD14" s="198"/>
      <c r="DE14" s="199"/>
      <c r="DF14" s="1091"/>
      <c r="DG14" s="198"/>
      <c r="DH14" s="198"/>
      <c r="DI14" s="198"/>
      <c r="DJ14" s="198"/>
      <c r="DK14" s="199"/>
      <c r="DL14" s="237"/>
      <c r="DM14" s="238"/>
      <c r="DN14" s="238"/>
      <c r="DO14" s="238"/>
      <c r="DP14" s="238"/>
      <c r="DQ14" s="233"/>
      <c r="DR14" s="1092"/>
      <c r="DS14" s="202">
        <v>136</v>
      </c>
      <c r="DT14" s="202">
        <v>2</v>
      </c>
      <c r="DU14" s="202">
        <v>1</v>
      </c>
      <c r="DV14" s="202">
        <v>62</v>
      </c>
      <c r="DW14" s="203"/>
      <c r="DX14" s="204"/>
      <c r="DY14" s="205"/>
      <c r="DZ14" s="205"/>
      <c r="EA14" s="205"/>
      <c r="EB14" s="205"/>
      <c r="EC14" s="847"/>
      <c r="ED14" s="207"/>
      <c r="EE14" s="198"/>
      <c r="EF14" s="198"/>
      <c r="EG14" s="198"/>
      <c r="EH14" s="198"/>
      <c r="EI14" s="577"/>
      <c r="EJ14" s="207"/>
      <c r="EK14" s="198"/>
      <c r="EL14" s="198"/>
      <c r="EM14" s="198"/>
      <c r="EN14" s="198"/>
      <c r="EO14" s="199"/>
    </row>
    <row r="15" spans="1:145" s="1169" customFormat="1" ht="18">
      <c r="A15" s="797" t="s">
        <v>137</v>
      </c>
      <c r="B15" s="795">
        <v>19</v>
      </c>
      <c r="C15" s="210">
        <v>1128</v>
      </c>
      <c r="D15" s="210">
        <v>724</v>
      </c>
      <c r="E15" s="210">
        <v>646</v>
      </c>
      <c r="F15" s="210">
        <v>7</v>
      </c>
      <c r="G15" s="211">
        <v>2204</v>
      </c>
      <c r="H15" s="212"/>
      <c r="I15" s="213">
        <v>9</v>
      </c>
      <c r="J15" s="213">
        <v>289</v>
      </c>
      <c r="K15" s="213"/>
      <c r="L15" s="213">
        <v>532</v>
      </c>
      <c r="M15" s="214">
        <v>16</v>
      </c>
      <c r="N15" s="217"/>
      <c r="O15" s="213"/>
      <c r="P15" s="213"/>
      <c r="Q15" s="213"/>
      <c r="R15" s="213"/>
      <c r="S15" s="214"/>
      <c r="T15" s="212">
        <v>2</v>
      </c>
      <c r="U15" s="213">
        <v>749</v>
      </c>
      <c r="V15" s="213"/>
      <c r="W15" s="213">
        <v>2330</v>
      </c>
      <c r="X15" s="213">
        <v>915</v>
      </c>
      <c r="Y15" s="214">
        <v>58</v>
      </c>
      <c r="Z15" s="212">
        <v>2</v>
      </c>
      <c r="AA15" s="213">
        <v>325</v>
      </c>
      <c r="AB15" s="213"/>
      <c r="AC15" s="213">
        <v>263</v>
      </c>
      <c r="AD15" s="213">
        <v>3</v>
      </c>
      <c r="AE15" s="214"/>
      <c r="AF15" s="212">
        <v>2</v>
      </c>
      <c r="AG15" s="213">
        <v>348</v>
      </c>
      <c r="AH15" s="213">
        <v>22</v>
      </c>
      <c r="AI15" s="213">
        <v>325</v>
      </c>
      <c r="AJ15" s="213">
        <v>38</v>
      </c>
      <c r="AK15" s="214">
        <v>859</v>
      </c>
      <c r="AL15" s="212">
        <v>38</v>
      </c>
      <c r="AM15" s="213">
        <v>27</v>
      </c>
      <c r="AN15" s="213">
        <v>179</v>
      </c>
      <c r="AO15" s="213"/>
      <c r="AP15" s="213">
        <v>453</v>
      </c>
      <c r="AQ15" s="214"/>
      <c r="AR15" s="212"/>
      <c r="AS15" s="213"/>
      <c r="AT15" s="198">
        <v>555</v>
      </c>
      <c r="AU15" s="213">
        <v>434</v>
      </c>
      <c r="AV15" s="213">
        <v>584</v>
      </c>
      <c r="AW15" s="214">
        <v>1</v>
      </c>
      <c r="AX15" s="212">
        <v>38</v>
      </c>
      <c r="AY15" s="213">
        <v>5723</v>
      </c>
      <c r="AZ15" s="213">
        <v>419</v>
      </c>
      <c r="BA15" s="213">
        <v>334</v>
      </c>
      <c r="BB15" s="213">
        <v>418</v>
      </c>
      <c r="BC15" s="214">
        <v>13</v>
      </c>
      <c r="BD15" s="212">
        <v>3</v>
      </c>
      <c r="BE15" s="213">
        <v>133</v>
      </c>
      <c r="BF15" s="213">
        <v>126</v>
      </c>
      <c r="BG15" s="213">
        <v>10</v>
      </c>
      <c r="BH15" s="213">
        <v>4</v>
      </c>
      <c r="BI15" s="214">
        <v>106</v>
      </c>
      <c r="BJ15" s="212">
        <v>1215</v>
      </c>
      <c r="BK15" s="213">
        <v>28340</v>
      </c>
      <c r="BL15" s="213">
        <v>1791</v>
      </c>
      <c r="BM15" s="213">
        <v>7053</v>
      </c>
      <c r="BN15" s="213">
        <v>184</v>
      </c>
      <c r="BO15" s="214">
        <v>110578</v>
      </c>
      <c r="BP15" s="212">
        <v>4938</v>
      </c>
      <c r="BQ15" s="213">
        <v>16515</v>
      </c>
      <c r="BR15" s="213">
        <v>3507</v>
      </c>
      <c r="BS15" s="213">
        <v>11273</v>
      </c>
      <c r="BT15" s="213">
        <v>4254</v>
      </c>
      <c r="BU15" s="214">
        <v>328</v>
      </c>
      <c r="BV15" s="1167">
        <v>5</v>
      </c>
      <c r="BW15" s="1168">
        <v>198</v>
      </c>
      <c r="BX15" s="1168">
        <v>2</v>
      </c>
      <c r="BY15" s="1168"/>
      <c r="BZ15" s="1168">
        <v>173</v>
      </c>
      <c r="CA15" s="1175"/>
      <c r="CB15" s="217">
        <v>9</v>
      </c>
      <c r="CC15" s="213">
        <v>142</v>
      </c>
      <c r="CD15" s="213">
        <v>1300</v>
      </c>
      <c r="CE15" s="213"/>
      <c r="CF15" s="213">
        <v>7982</v>
      </c>
      <c r="CG15" s="214"/>
      <c r="CH15" s="217">
        <v>9</v>
      </c>
      <c r="CI15" s="213">
        <v>3703</v>
      </c>
      <c r="CJ15" s="213">
        <v>2052</v>
      </c>
      <c r="CK15" s="213">
        <v>100</v>
      </c>
      <c r="CL15" s="213">
        <v>926</v>
      </c>
      <c r="CM15" s="214">
        <v>586</v>
      </c>
      <c r="CN15" s="217">
        <v>1</v>
      </c>
      <c r="CO15" s="213">
        <v>207</v>
      </c>
      <c r="CP15" s="213"/>
      <c r="CQ15" s="213"/>
      <c r="CR15" s="213"/>
      <c r="CS15" s="214">
        <v>2</v>
      </c>
      <c r="CT15" s="217"/>
      <c r="CU15" s="213">
        <v>1703</v>
      </c>
      <c r="CV15" s="213">
        <v>8267</v>
      </c>
      <c r="CW15" s="213">
        <v>59</v>
      </c>
      <c r="CX15" s="213">
        <v>9626</v>
      </c>
      <c r="CY15" s="214">
        <v>9</v>
      </c>
      <c r="CZ15" s="217">
        <v>2</v>
      </c>
      <c r="DA15" s="213">
        <v>6463</v>
      </c>
      <c r="DB15" s="213">
        <v>5281</v>
      </c>
      <c r="DC15" s="213">
        <v>502</v>
      </c>
      <c r="DD15" s="213">
        <v>81845</v>
      </c>
      <c r="DE15" s="214">
        <v>8</v>
      </c>
      <c r="DF15" s="1228"/>
      <c r="DG15" s="213"/>
      <c r="DH15" s="213"/>
      <c r="DI15" s="213"/>
      <c r="DJ15" s="213"/>
      <c r="DK15" s="214"/>
      <c r="DL15" s="1229">
        <v>47</v>
      </c>
      <c r="DM15" s="1189">
        <v>3726</v>
      </c>
      <c r="DN15" s="1189">
        <v>14994</v>
      </c>
      <c r="DO15" s="1189">
        <v>3149</v>
      </c>
      <c r="DP15" s="1189">
        <v>999</v>
      </c>
      <c r="DQ15" s="1190">
        <v>18741</v>
      </c>
      <c r="DR15" s="1230"/>
      <c r="DS15" s="202">
        <v>1290</v>
      </c>
      <c r="DT15" s="202">
        <v>210</v>
      </c>
      <c r="DU15" s="202">
        <v>1</v>
      </c>
      <c r="DV15" s="202">
        <v>274</v>
      </c>
      <c r="DW15" s="1163"/>
      <c r="DX15" s="1164">
        <v>10</v>
      </c>
      <c r="DY15" s="1165">
        <v>918</v>
      </c>
      <c r="DZ15" s="1165">
        <v>109</v>
      </c>
      <c r="EA15" s="1165">
        <v>295</v>
      </c>
      <c r="EB15" s="1415">
        <v>3608</v>
      </c>
      <c r="EC15" s="1231">
        <v>3</v>
      </c>
      <c r="ED15" s="217"/>
      <c r="EE15" s="213">
        <v>2007</v>
      </c>
      <c r="EF15" s="213">
        <v>1370</v>
      </c>
      <c r="EG15" s="213">
        <v>40</v>
      </c>
      <c r="EH15" s="213">
        <v>358</v>
      </c>
      <c r="EI15" s="579">
        <v>976</v>
      </c>
      <c r="EJ15" s="217"/>
      <c r="EK15" s="213"/>
      <c r="EL15" s="213"/>
      <c r="EM15" s="213"/>
      <c r="EN15" s="213"/>
      <c r="EO15" s="214"/>
    </row>
    <row r="16" spans="1:145" ht="16.5">
      <c r="A16" s="798" t="s">
        <v>138</v>
      </c>
      <c r="B16" s="794">
        <v>18</v>
      </c>
      <c r="C16" s="195">
        <v>776</v>
      </c>
      <c r="D16" s="195">
        <v>716</v>
      </c>
      <c r="E16" s="195">
        <v>296</v>
      </c>
      <c r="F16" s="195">
        <v>7</v>
      </c>
      <c r="G16" s="196">
        <v>714</v>
      </c>
      <c r="H16" s="197"/>
      <c r="I16" s="198">
        <v>6</v>
      </c>
      <c r="J16" s="198">
        <v>269</v>
      </c>
      <c r="K16" s="198"/>
      <c r="L16" s="198">
        <v>471</v>
      </c>
      <c r="M16" s="199">
        <v>10</v>
      </c>
      <c r="N16" s="207"/>
      <c r="O16" s="198"/>
      <c r="P16" s="198"/>
      <c r="Q16" s="198"/>
      <c r="R16" s="198"/>
      <c r="S16" s="199"/>
      <c r="T16" s="197">
        <v>2</v>
      </c>
      <c r="U16" s="198">
        <v>723</v>
      </c>
      <c r="V16" s="198"/>
      <c r="W16" s="198">
        <v>1981</v>
      </c>
      <c r="X16" s="198">
        <v>816</v>
      </c>
      <c r="Y16" s="199">
        <v>58</v>
      </c>
      <c r="Z16" s="197">
        <v>2</v>
      </c>
      <c r="AA16" s="198">
        <v>164</v>
      </c>
      <c r="AB16" s="198"/>
      <c r="AC16" s="198">
        <v>97</v>
      </c>
      <c r="AD16" s="198">
        <v>3</v>
      </c>
      <c r="AE16" s="199"/>
      <c r="AF16" s="197">
        <v>2</v>
      </c>
      <c r="AG16" s="198">
        <v>112</v>
      </c>
      <c r="AH16" s="198">
        <v>22</v>
      </c>
      <c r="AI16" s="198">
        <v>133</v>
      </c>
      <c r="AJ16" s="198">
        <v>36</v>
      </c>
      <c r="AK16" s="199">
        <v>752</v>
      </c>
      <c r="AL16" s="197">
        <v>36</v>
      </c>
      <c r="AM16" s="198">
        <v>24</v>
      </c>
      <c r="AN16" s="198">
        <v>179</v>
      </c>
      <c r="AO16" s="198"/>
      <c r="AP16" s="198">
        <v>446</v>
      </c>
      <c r="AQ16" s="199"/>
      <c r="AR16" s="197"/>
      <c r="AS16" s="198"/>
      <c r="AT16" s="198">
        <v>248</v>
      </c>
      <c r="AU16" s="198">
        <v>166</v>
      </c>
      <c r="AV16" s="198">
        <v>145</v>
      </c>
      <c r="AW16" s="199">
        <v>1</v>
      </c>
      <c r="AX16" s="197">
        <v>32</v>
      </c>
      <c r="AY16" s="198">
        <v>5722</v>
      </c>
      <c r="AZ16" s="198">
        <v>419</v>
      </c>
      <c r="BA16" s="198">
        <v>334</v>
      </c>
      <c r="BB16" s="198">
        <v>418</v>
      </c>
      <c r="BC16" s="199">
        <v>12</v>
      </c>
      <c r="BD16" s="197">
        <v>2</v>
      </c>
      <c r="BE16" s="198">
        <v>132</v>
      </c>
      <c r="BF16" s="198">
        <v>126</v>
      </c>
      <c r="BG16" s="198">
        <v>10</v>
      </c>
      <c r="BH16" s="198">
        <v>3</v>
      </c>
      <c r="BI16" s="199">
        <v>101</v>
      </c>
      <c r="BJ16" s="197">
        <v>1039</v>
      </c>
      <c r="BK16" s="198">
        <v>5808</v>
      </c>
      <c r="BL16" s="198">
        <v>189</v>
      </c>
      <c r="BM16" s="198">
        <v>2976</v>
      </c>
      <c r="BN16" s="198">
        <v>117</v>
      </c>
      <c r="BO16" s="199">
        <v>42299</v>
      </c>
      <c r="BP16" s="197">
        <v>4217</v>
      </c>
      <c r="BQ16" s="198">
        <v>12830</v>
      </c>
      <c r="BR16" s="198">
        <v>3320</v>
      </c>
      <c r="BS16" s="198">
        <v>3177</v>
      </c>
      <c r="BT16" s="198">
        <v>3412</v>
      </c>
      <c r="BU16" s="199">
        <v>307</v>
      </c>
      <c r="BV16" s="581">
        <v>5</v>
      </c>
      <c r="BW16" s="200">
        <v>198</v>
      </c>
      <c r="BX16" s="200">
        <v>1</v>
      </c>
      <c r="BY16" s="200"/>
      <c r="BZ16" s="200">
        <v>173</v>
      </c>
      <c r="CA16" s="977"/>
      <c r="CB16" s="207">
        <v>3</v>
      </c>
      <c r="CC16" s="198">
        <v>113</v>
      </c>
      <c r="CD16" s="198">
        <v>983</v>
      </c>
      <c r="CE16" s="198"/>
      <c r="CF16" s="198">
        <v>3020</v>
      </c>
      <c r="CG16" s="199"/>
      <c r="CH16" s="207">
        <v>2</v>
      </c>
      <c r="CI16" s="198">
        <v>3606</v>
      </c>
      <c r="CJ16" s="198">
        <v>1955</v>
      </c>
      <c r="CK16" s="198">
        <v>98</v>
      </c>
      <c r="CL16" s="198">
        <v>872</v>
      </c>
      <c r="CM16" s="199">
        <v>528</v>
      </c>
      <c r="CN16" s="207">
        <v>1</v>
      </c>
      <c r="CO16" s="198">
        <v>107</v>
      </c>
      <c r="CP16" s="198"/>
      <c r="CQ16" s="198"/>
      <c r="CR16" s="198"/>
      <c r="CS16" s="199">
        <v>2</v>
      </c>
      <c r="CT16" s="207"/>
      <c r="CU16" s="198">
        <v>1162</v>
      </c>
      <c r="CV16" s="198">
        <v>8082</v>
      </c>
      <c r="CW16" s="198">
        <v>59</v>
      </c>
      <c r="CX16" s="198">
        <v>9626</v>
      </c>
      <c r="CY16" s="199">
        <v>8</v>
      </c>
      <c r="CZ16" s="207">
        <v>2</v>
      </c>
      <c r="DA16" s="198">
        <v>5309</v>
      </c>
      <c r="DB16" s="198">
        <v>1700</v>
      </c>
      <c r="DC16" s="198">
        <v>456</v>
      </c>
      <c r="DD16" s="198">
        <v>9071</v>
      </c>
      <c r="DE16" s="199">
        <v>8</v>
      </c>
      <c r="DF16" s="1091"/>
      <c r="DG16" s="198"/>
      <c r="DH16" s="198"/>
      <c r="DI16" s="198"/>
      <c r="DJ16" s="198"/>
      <c r="DK16" s="199"/>
      <c r="DL16" s="237">
        <v>21</v>
      </c>
      <c r="DM16" s="238">
        <v>3586</v>
      </c>
      <c r="DN16" s="238">
        <v>14976</v>
      </c>
      <c r="DO16" s="238">
        <v>1817</v>
      </c>
      <c r="DP16" s="238">
        <v>878</v>
      </c>
      <c r="DQ16" s="233">
        <v>15900</v>
      </c>
      <c r="DR16" s="1092"/>
      <c r="DS16" s="202">
        <v>1143</v>
      </c>
      <c r="DT16" s="202">
        <v>210</v>
      </c>
      <c r="DU16" s="202">
        <v>1</v>
      </c>
      <c r="DV16" s="202">
        <v>155</v>
      </c>
      <c r="DW16" s="203"/>
      <c r="DX16" s="204">
        <v>10</v>
      </c>
      <c r="DY16" s="205">
        <v>474</v>
      </c>
      <c r="DZ16" s="205">
        <v>92</v>
      </c>
      <c r="EA16" s="205">
        <v>263</v>
      </c>
      <c r="EB16" s="219">
        <v>3571</v>
      </c>
      <c r="EC16" s="847">
        <v>2</v>
      </c>
      <c r="ED16" s="207"/>
      <c r="EE16" s="198">
        <v>1897</v>
      </c>
      <c r="EF16" s="198">
        <v>1369</v>
      </c>
      <c r="EG16" s="198">
        <v>40</v>
      </c>
      <c r="EH16" s="198">
        <v>358</v>
      </c>
      <c r="EI16" s="577">
        <v>976</v>
      </c>
      <c r="EJ16" s="207"/>
      <c r="EK16" s="198"/>
      <c r="EL16" s="198"/>
      <c r="EM16" s="198"/>
      <c r="EN16" s="198"/>
      <c r="EO16" s="199"/>
    </row>
    <row r="17" spans="1:145" ht="16.5">
      <c r="A17" s="798" t="s">
        <v>139</v>
      </c>
      <c r="B17" s="794">
        <v>1</v>
      </c>
      <c r="C17" s="195">
        <v>98</v>
      </c>
      <c r="D17" s="195">
        <v>1</v>
      </c>
      <c r="E17" s="195">
        <v>107</v>
      </c>
      <c r="F17" s="195"/>
      <c r="G17" s="196">
        <v>425</v>
      </c>
      <c r="H17" s="197"/>
      <c r="I17" s="198">
        <v>1</v>
      </c>
      <c r="J17" s="198">
        <v>3</v>
      </c>
      <c r="K17" s="198"/>
      <c r="L17" s="198">
        <v>6</v>
      </c>
      <c r="M17" s="199"/>
      <c r="N17" s="207"/>
      <c r="O17" s="198"/>
      <c r="P17" s="198"/>
      <c r="Q17" s="198"/>
      <c r="R17" s="198"/>
      <c r="S17" s="199"/>
      <c r="T17" s="197"/>
      <c r="U17" s="198">
        <v>26</v>
      </c>
      <c r="V17" s="198"/>
      <c r="W17" s="198">
        <v>349</v>
      </c>
      <c r="X17" s="198">
        <v>97</v>
      </c>
      <c r="Y17" s="199"/>
      <c r="Z17" s="197"/>
      <c r="AA17" s="198">
        <v>41</v>
      </c>
      <c r="AB17" s="198"/>
      <c r="AC17" s="198">
        <v>17</v>
      </c>
      <c r="AD17" s="198"/>
      <c r="AE17" s="199"/>
      <c r="AF17" s="197"/>
      <c r="AG17" s="198">
        <v>28</v>
      </c>
      <c r="AH17" s="198"/>
      <c r="AI17" s="198">
        <v>52</v>
      </c>
      <c r="AJ17" s="198"/>
      <c r="AK17" s="199"/>
      <c r="AL17" s="197">
        <v>2</v>
      </c>
      <c r="AM17" s="198">
        <v>3</v>
      </c>
      <c r="AN17" s="198"/>
      <c r="AO17" s="198"/>
      <c r="AP17" s="198">
        <v>7</v>
      </c>
      <c r="AQ17" s="199"/>
      <c r="AR17" s="197"/>
      <c r="AS17" s="198"/>
      <c r="AT17" s="198">
        <v>91</v>
      </c>
      <c r="AU17" s="198">
        <v>108</v>
      </c>
      <c r="AV17" s="198">
        <v>101</v>
      </c>
      <c r="AW17" s="199"/>
      <c r="AX17" s="197">
        <v>5</v>
      </c>
      <c r="AY17" s="198"/>
      <c r="AZ17" s="198"/>
      <c r="BA17" s="198"/>
      <c r="BB17" s="198"/>
      <c r="BC17" s="199">
        <v>1</v>
      </c>
      <c r="BD17" s="197">
        <v>1</v>
      </c>
      <c r="BE17" s="198">
        <v>1</v>
      </c>
      <c r="BF17" s="198"/>
      <c r="BG17" s="198"/>
      <c r="BH17" s="198">
        <v>1</v>
      </c>
      <c r="BI17" s="199">
        <v>3</v>
      </c>
      <c r="BJ17" s="197">
        <v>110</v>
      </c>
      <c r="BK17" s="198">
        <v>1711</v>
      </c>
      <c r="BL17" s="198">
        <v>40</v>
      </c>
      <c r="BM17" s="198">
        <v>683</v>
      </c>
      <c r="BN17" s="198">
        <v>10</v>
      </c>
      <c r="BO17" s="199">
        <v>17303</v>
      </c>
      <c r="BP17" s="197">
        <v>403</v>
      </c>
      <c r="BQ17" s="198">
        <v>923</v>
      </c>
      <c r="BR17" s="198">
        <v>6</v>
      </c>
      <c r="BS17" s="198">
        <v>96</v>
      </c>
      <c r="BT17" s="198">
        <v>112</v>
      </c>
      <c r="BU17" s="199">
        <v>13</v>
      </c>
      <c r="BV17" s="581"/>
      <c r="BW17" s="200"/>
      <c r="BX17" s="200"/>
      <c r="BY17" s="200"/>
      <c r="BZ17" s="200"/>
      <c r="CA17" s="977"/>
      <c r="CB17" s="207">
        <v>2</v>
      </c>
      <c r="CC17" s="198">
        <v>6</v>
      </c>
      <c r="CD17" s="198">
        <v>230</v>
      </c>
      <c r="CE17" s="198"/>
      <c r="CF17" s="198">
        <v>1186</v>
      </c>
      <c r="CG17" s="199"/>
      <c r="CH17" s="207"/>
      <c r="CI17" s="198">
        <v>97</v>
      </c>
      <c r="CJ17" s="198">
        <v>97</v>
      </c>
      <c r="CK17" s="198">
        <v>2</v>
      </c>
      <c r="CL17" s="198">
        <v>26</v>
      </c>
      <c r="CM17" s="199">
        <v>58</v>
      </c>
      <c r="CN17" s="207"/>
      <c r="CO17" s="198">
        <v>51</v>
      </c>
      <c r="CP17" s="198"/>
      <c r="CQ17" s="198"/>
      <c r="CR17" s="198"/>
      <c r="CS17" s="199"/>
      <c r="CT17" s="207"/>
      <c r="CU17" s="198">
        <v>541</v>
      </c>
      <c r="CV17" s="198">
        <v>185</v>
      </c>
      <c r="CW17" s="198"/>
      <c r="CX17" s="198"/>
      <c r="CY17" s="199">
        <v>1</v>
      </c>
      <c r="CZ17" s="207"/>
      <c r="DA17" s="198">
        <v>57</v>
      </c>
      <c r="DB17" s="198">
        <v>69</v>
      </c>
      <c r="DC17" s="198">
        <v>46</v>
      </c>
      <c r="DD17" s="198">
        <v>1981</v>
      </c>
      <c r="DE17" s="199"/>
      <c r="DF17" s="1091"/>
      <c r="DG17" s="198"/>
      <c r="DH17" s="198"/>
      <c r="DI17" s="198"/>
      <c r="DJ17" s="198"/>
      <c r="DK17" s="199"/>
      <c r="DL17" s="237">
        <v>18</v>
      </c>
      <c r="DM17" s="238">
        <v>132</v>
      </c>
      <c r="DN17" s="238">
        <v>18</v>
      </c>
      <c r="DO17" s="238">
        <v>889</v>
      </c>
      <c r="DP17" s="238">
        <v>45</v>
      </c>
      <c r="DQ17" s="233">
        <v>2840</v>
      </c>
      <c r="DR17" s="1092"/>
      <c r="DS17" s="202">
        <v>147</v>
      </c>
      <c r="DT17" s="202"/>
      <c r="DU17" s="202"/>
      <c r="DV17" s="202">
        <v>18</v>
      </c>
      <c r="DW17" s="203"/>
      <c r="DX17" s="204"/>
      <c r="DY17" s="205">
        <v>394</v>
      </c>
      <c r="DZ17" s="205">
        <v>17</v>
      </c>
      <c r="EA17" s="205"/>
      <c r="EB17" s="219"/>
      <c r="EC17" s="847">
        <v>1</v>
      </c>
      <c r="ED17" s="207"/>
      <c r="EE17" s="198">
        <v>110</v>
      </c>
      <c r="EF17" s="198">
        <v>1</v>
      </c>
      <c r="EG17" s="198"/>
      <c r="EH17" s="198"/>
      <c r="EI17" s="577"/>
      <c r="EJ17" s="207"/>
      <c r="EK17" s="198"/>
      <c r="EL17" s="198"/>
      <c r="EM17" s="198"/>
      <c r="EN17" s="198"/>
      <c r="EO17" s="199"/>
    </row>
    <row r="18" spans="1:145" ht="17.25" thickBot="1">
      <c r="A18" s="798" t="s">
        <v>140</v>
      </c>
      <c r="B18" s="794"/>
      <c r="C18" s="195">
        <v>79</v>
      </c>
      <c r="D18" s="195">
        <v>7</v>
      </c>
      <c r="E18" s="195">
        <v>115</v>
      </c>
      <c r="F18" s="195"/>
      <c r="G18" s="196">
        <v>286</v>
      </c>
      <c r="H18" s="197"/>
      <c r="I18" s="198">
        <v>1</v>
      </c>
      <c r="J18" s="198">
        <v>7</v>
      </c>
      <c r="K18" s="198"/>
      <c r="L18" s="198">
        <v>18</v>
      </c>
      <c r="M18" s="199"/>
      <c r="N18" s="207"/>
      <c r="O18" s="198"/>
      <c r="P18" s="198"/>
      <c r="Q18" s="198"/>
      <c r="R18" s="198"/>
      <c r="S18" s="199"/>
      <c r="T18" s="197"/>
      <c r="U18" s="198"/>
      <c r="V18" s="198"/>
      <c r="W18" s="198"/>
      <c r="X18" s="198">
        <v>1</v>
      </c>
      <c r="Y18" s="199"/>
      <c r="Z18" s="197"/>
      <c r="AA18" s="198">
        <v>59</v>
      </c>
      <c r="AB18" s="198"/>
      <c r="AC18" s="198">
        <v>35</v>
      </c>
      <c r="AD18" s="198"/>
      <c r="AE18" s="199"/>
      <c r="AF18" s="197"/>
      <c r="AG18" s="198">
        <v>57</v>
      </c>
      <c r="AH18" s="198"/>
      <c r="AI18" s="198">
        <v>68</v>
      </c>
      <c r="AJ18" s="198"/>
      <c r="AK18" s="199"/>
      <c r="AL18" s="197"/>
      <c r="AM18" s="198"/>
      <c r="AN18" s="198"/>
      <c r="AO18" s="198"/>
      <c r="AP18" s="198"/>
      <c r="AQ18" s="199"/>
      <c r="AR18" s="197"/>
      <c r="AS18" s="198"/>
      <c r="AT18" s="1095">
        <v>92</v>
      </c>
      <c r="AU18" s="198">
        <v>105</v>
      </c>
      <c r="AV18" s="198">
        <v>120</v>
      </c>
      <c r="AW18" s="199"/>
      <c r="AX18" s="197">
        <v>1</v>
      </c>
      <c r="AY18" s="198">
        <v>1</v>
      </c>
      <c r="AZ18" s="198"/>
      <c r="BA18" s="198"/>
      <c r="BB18" s="198"/>
      <c r="BC18" s="199"/>
      <c r="BD18" s="197"/>
      <c r="BE18" s="198"/>
      <c r="BF18" s="198"/>
      <c r="BG18" s="198"/>
      <c r="BH18" s="198"/>
      <c r="BI18" s="199">
        <v>2</v>
      </c>
      <c r="BJ18" s="197">
        <v>52</v>
      </c>
      <c r="BK18" s="198">
        <v>2983</v>
      </c>
      <c r="BL18" s="198">
        <v>119</v>
      </c>
      <c r="BM18" s="198">
        <v>1006</v>
      </c>
      <c r="BN18" s="198">
        <v>11</v>
      </c>
      <c r="BO18" s="199">
        <v>10365</v>
      </c>
      <c r="BP18" s="197">
        <v>284</v>
      </c>
      <c r="BQ18" s="198">
        <v>454</v>
      </c>
      <c r="BR18" s="198">
        <v>75</v>
      </c>
      <c r="BS18" s="198">
        <v>1111</v>
      </c>
      <c r="BT18" s="198">
        <v>161</v>
      </c>
      <c r="BU18" s="199">
        <v>8</v>
      </c>
      <c r="BV18" s="581"/>
      <c r="BW18" s="200"/>
      <c r="BX18" s="200"/>
      <c r="BY18" s="200"/>
      <c r="BZ18" s="200"/>
      <c r="CA18" s="977"/>
      <c r="CB18" s="207"/>
      <c r="CC18" s="198">
        <v>10</v>
      </c>
      <c r="CD18" s="198">
        <v>64</v>
      </c>
      <c r="CE18" s="198"/>
      <c r="CF18" s="198">
        <v>191</v>
      </c>
      <c r="CG18" s="199"/>
      <c r="CH18" s="1221"/>
      <c r="CI18" s="657"/>
      <c r="CJ18" s="657"/>
      <c r="CK18" s="657"/>
      <c r="CL18" s="657">
        <v>7</v>
      </c>
      <c r="CM18" s="1170"/>
      <c r="CN18" s="207"/>
      <c r="CO18" s="198">
        <v>19</v>
      </c>
      <c r="CP18" s="198"/>
      <c r="CQ18" s="198"/>
      <c r="CR18" s="198"/>
      <c r="CS18" s="199"/>
      <c r="CT18" s="207"/>
      <c r="CU18" s="198"/>
      <c r="CV18" s="198"/>
      <c r="CW18" s="198"/>
      <c r="CX18" s="198"/>
      <c r="CY18" s="199"/>
      <c r="CZ18" s="207"/>
      <c r="DA18" s="198">
        <v>57</v>
      </c>
      <c r="DB18" s="198">
        <v>310</v>
      </c>
      <c r="DC18" s="198"/>
      <c r="DD18" s="198">
        <v>17215</v>
      </c>
      <c r="DE18" s="199"/>
      <c r="DF18" s="1091"/>
      <c r="DG18" s="198"/>
      <c r="DH18" s="198"/>
      <c r="DI18" s="198"/>
      <c r="DJ18" s="198"/>
      <c r="DK18" s="199"/>
      <c r="DL18" s="237">
        <v>5</v>
      </c>
      <c r="DM18" s="238">
        <v>8</v>
      </c>
      <c r="DN18" s="238"/>
      <c r="DO18" s="238">
        <v>443</v>
      </c>
      <c r="DP18" s="238">
        <v>76</v>
      </c>
      <c r="DQ18" s="233">
        <v>1</v>
      </c>
      <c r="DR18" s="1092"/>
      <c r="DS18" s="1103"/>
      <c r="DT18" s="1103"/>
      <c r="DU18" s="1103"/>
      <c r="DV18" s="1103">
        <v>1</v>
      </c>
      <c r="DW18" s="203"/>
      <c r="DX18" s="204"/>
      <c r="DY18" s="205">
        <v>49</v>
      </c>
      <c r="DZ18" s="205"/>
      <c r="EA18" s="205">
        <v>32</v>
      </c>
      <c r="EB18" s="219">
        <v>37</v>
      </c>
      <c r="EC18" s="847"/>
      <c r="ED18" s="207"/>
      <c r="EE18" s="198"/>
      <c r="EF18" s="198"/>
      <c r="EG18" s="198"/>
      <c r="EH18" s="198"/>
      <c r="EI18" s="577"/>
      <c r="EJ18" s="207"/>
      <c r="EK18" s="198"/>
      <c r="EL18" s="198"/>
      <c r="EM18" s="198"/>
      <c r="EN18" s="198"/>
      <c r="EO18" s="199"/>
    </row>
    <row r="19" spans="1:145" ht="17.25" thickBot="1">
      <c r="A19" s="799" t="s">
        <v>141</v>
      </c>
      <c r="B19" s="796"/>
      <c r="C19" s="595">
        <v>175</v>
      </c>
      <c r="D19" s="595"/>
      <c r="E19" s="595">
        <v>128</v>
      </c>
      <c r="F19" s="595"/>
      <c r="G19" s="596">
        <v>779</v>
      </c>
      <c r="H19" s="1094"/>
      <c r="I19" s="1095">
        <v>1</v>
      </c>
      <c r="J19" s="1095">
        <v>10</v>
      </c>
      <c r="K19" s="1095"/>
      <c r="L19" s="1095">
        <v>37</v>
      </c>
      <c r="M19" s="1096">
        <v>6</v>
      </c>
      <c r="N19" s="1097"/>
      <c r="O19" s="1095"/>
      <c r="P19" s="1095"/>
      <c r="Q19" s="1095"/>
      <c r="R19" s="1095"/>
      <c r="S19" s="1096"/>
      <c r="T19" s="1094"/>
      <c r="U19" s="1095"/>
      <c r="V19" s="1095"/>
      <c r="W19" s="1095"/>
      <c r="X19" s="1095">
        <v>1</v>
      </c>
      <c r="Y19" s="1096"/>
      <c r="Z19" s="1094"/>
      <c r="AA19" s="1095">
        <v>61</v>
      </c>
      <c r="AB19" s="1095"/>
      <c r="AC19" s="1095">
        <v>114</v>
      </c>
      <c r="AD19" s="1095"/>
      <c r="AE19" s="1096"/>
      <c r="AF19" s="1094"/>
      <c r="AG19" s="1095">
        <v>151</v>
      </c>
      <c r="AH19" s="1095"/>
      <c r="AI19" s="1095">
        <v>72</v>
      </c>
      <c r="AJ19" s="1095">
        <v>2</v>
      </c>
      <c r="AK19" s="1096">
        <v>107</v>
      </c>
      <c r="AL19" s="1094"/>
      <c r="AM19" s="1095"/>
      <c r="AN19" s="1095"/>
      <c r="AO19" s="1095"/>
      <c r="AP19" s="1095"/>
      <c r="AQ19" s="1096"/>
      <c r="AR19" s="1094"/>
      <c r="AS19" s="1095"/>
      <c r="AT19" s="147">
        <v>124</v>
      </c>
      <c r="AU19" s="1095">
        <v>55</v>
      </c>
      <c r="AV19" s="1095">
        <v>218</v>
      </c>
      <c r="AW19" s="1096"/>
      <c r="AX19" s="1094"/>
      <c r="AY19" s="1095"/>
      <c r="AZ19" s="1095"/>
      <c r="BA19" s="1095"/>
      <c r="BB19" s="1095"/>
      <c r="BC19" s="1096"/>
      <c r="BD19" s="1094"/>
      <c r="BE19" s="1095"/>
      <c r="BF19" s="1095"/>
      <c r="BG19" s="1095"/>
      <c r="BH19" s="1095"/>
      <c r="BI19" s="1096"/>
      <c r="BJ19" s="1094">
        <v>14</v>
      </c>
      <c r="BK19" s="1095">
        <v>17838</v>
      </c>
      <c r="BL19" s="1095">
        <v>1443</v>
      </c>
      <c r="BM19" s="1095">
        <v>2387</v>
      </c>
      <c r="BN19" s="1095">
        <v>46</v>
      </c>
      <c r="BO19" s="1096">
        <v>40611</v>
      </c>
      <c r="BP19" s="1094">
        <v>34</v>
      </c>
      <c r="BQ19" s="1095">
        <v>2308</v>
      </c>
      <c r="BR19" s="1095">
        <v>106</v>
      </c>
      <c r="BS19" s="1095">
        <v>6889</v>
      </c>
      <c r="BT19" s="1095">
        <v>569</v>
      </c>
      <c r="BU19" s="1096"/>
      <c r="BV19" s="1098"/>
      <c r="BW19" s="1099"/>
      <c r="BX19" s="1099"/>
      <c r="BY19" s="1099"/>
      <c r="BZ19" s="1099"/>
      <c r="CA19" s="1100"/>
      <c r="CB19" s="1097">
        <v>4</v>
      </c>
      <c r="CC19" s="1095">
        <v>13</v>
      </c>
      <c r="CD19" s="1095">
        <v>23</v>
      </c>
      <c r="CE19" s="1095"/>
      <c r="CF19" s="1095">
        <v>3585</v>
      </c>
      <c r="CG19" s="1096"/>
      <c r="CH19" s="1097">
        <v>7</v>
      </c>
      <c r="CI19" s="1095"/>
      <c r="CJ19" s="1095"/>
      <c r="CK19" s="1095"/>
      <c r="CL19" s="1095">
        <v>21</v>
      </c>
      <c r="CM19" s="1096"/>
      <c r="CN19" s="1097"/>
      <c r="CO19" s="1095">
        <v>30</v>
      </c>
      <c r="CP19" s="1095"/>
      <c r="CQ19" s="1095"/>
      <c r="CR19" s="1095"/>
      <c r="CS19" s="1096"/>
      <c r="CT19" s="1097"/>
      <c r="CU19" s="1095"/>
      <c r="CV19" s="1095"/>
      <c r="CW19" s="1095"/>
      <c r="CX19" s="1095"/>
      <c r="CY19" s="1096"/>
      <c r="CZ19" s="1097"/>
      <c r="DA19" s="1095">
        <v>1040</v>
      </c>
      <c r="DB19" s="1095">
        <v>3202</v>
      </c>
      <c r="DC19" s="1095"/>
      <c r="DD19" s="1095">
        <v>53578</v>
      </c>
      <c r="DE19" s="1096"/>
      <c r="DF19" s="1101"/>
      <c r="DG19" s="1095"/>
      <c r="DH19" s="1095"/>
      <c r="DI19" s="1095"/>
      <c r="DJ19" s="1095"/>
      <c r="DK19" s="1096"/>
      <c r="DL19" s="239">
        <v>3</v>
      </c>
      <c r="DM19" s="240"/>
      <c r="DN19" s="240"/>
      <c r="DO19" s="240"/>
      <c r="DP19" s="240"/>
      <c r="DQ19" s="241"/>
      <c r="DR19" s="1102"/>
      <c r="DS19" s="1103"/>
      <c r="DT19" s="1103"/>
      <c r="DU19" s="1103"/>
      <c r="DV19" s="1103">
        <v>100</v>
      </c>
      <c r="DW19" s="1104"/>
      <c r="DX19" s="1105"/>
      <c r="DY19" s="1106">
        <v>1</v>
      </c>
      <c r="DZ19" s="1106"/>
      <c r="EA19" s="1106">
        <v>1</v>
      </c>
      <c r="EB19" s="1106"/>
      <c r="EC19" s="1107"/>
      <c r="ED19" s="1097"/>
      <c r="EE19" s="1095"/>
      <c r="EF19" s="1095"/>
      <c r="EG19" s="1095"/>
      <c r="EH19" s="1095"/>
      <c r="EI19" s="1108"/>
      <c r="EJ19" s="1105"/>
      <c r="EK19" s="1106"/>
      <c r="EL19" s="1106"/>
      <c r="EM19" s="1106"/>
      <c r="EN19" s="1095"/>
      <c r="EO19" s="1096"/>
    </row>
  </sheetData>
  <sheetProtection/>
  <mergeCells count="27">
    <mergeCell ref="BP3:BU3"/>
    <mergeCell ref="N3:S3"/>
    <mergeCell ref="T3:Y3"/>
    <mergeCell ref="Z3:AE3"/>
    <mergeCell ref="AF3:AK3"/>
    <mergeCell ref="AL3:AQ3"/>
    <mergeCell ref="BV3:CA3"/>
    <mergeCell ref="CB3:CG3"/>
    <mergeCell ref="CH3:CM3"/>
    <mergeCell ref="CN3:CS3"/>
    <mergeCell ref="CT3:CY3"/>
    <mergeCell ref="ED3:EI3"/>
    <mergeCell ref="EJ3:EO3"/>
    <mergeCell ref="A1:EO1"/>
    <mergeCell ref="A2:EO2"/>
    <mergeCell ref="A3:A4"/>
    <mergeCell ref="B3:G3"/>
    <mergeCell ref="H3:M3"/>
    <mergeCell ref="CZ3:DE3"/>
    <mergeCell ref="DL3:DQ3"/>
    <mergeCell ref="DR3:DW3"/>
    <mergeCell ref="DX3:EC3"/>
    <mergeCell ref="DF3:DK3"/>
    <mergeCell ref="AR3:AW3"/>
    <mergeCell ref="AX3:BC3"/>
    <mergeCell ref="BD3:BI3"/>
    <mergeCell ref="BJ3:B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1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T5" sqref="T5"/>
    </sheetView>
  </sheetViews>
  <sheetFormatPr defaultColWidth="9.140625" defaultRowHeight="15"/>
  <cols>
    <col min="1" max="1" width="59.28125" style="0" bestFit="1" customWidth="1"/>
    <col min="2" max="2" width="14.8515625" style="0" bestFit="1" customWidth="1"/>
    <col min="3" max="3" width="14.7109375" style="0" bestFit="1" customWidth="1"/>
    <col min="4" max="4" width="18.57421875" style="0" bestFit="1" customWidth="1"/>
    <col min="5" max="5" width="14.7109375" style="0" bestFit="1" customWidth="1"/>
    <col min="6" max="6" width="13.7109375" style="0" bestFit="1" customWidth="1"/>
    <col min="7" max="7" width="23.8515625" style="0" bestFit="1" customWidth="1"/>
    <col min="8" max="10" width="14.7109375" style="0" bestFit="1" customWidth="1"/>
    <col min="11" max="11" width="18.421875" style="0" bestFit="1" customWidth="1"/>
    <col min="12" max="12" width="14.7109375" style="0" bestFit="1" customWidth="1"/>
    <col min="13" max="13" width="15.00390625" style="0" bestFit="1" customWidth="1"/>
    <col min="14" max="22" width="14.7109375" style="0" bestFit="1" customWidth="1"/>
    <col min="23" max="23" width="16.7109375" style="0" bestFit="1" customWidth="1"/>
    <col min="24" max="24" width="14.7109375" style="0" bestFit="1" customWidth="1"/>
    <col min="25" max="25" width="14.28125" style="0" bestFit="1" customWidth="1"/>
    <col min="26" max="27" width="15.57421875" style="0" bestFit="1" customWidth="1"/>
  </cols>
  <sheetData>
    <row r="1" spans="1:27" ht="40.5" customHeight="1" thickBot="1">
      <c r="A1" s="1567" t="s">
        <v>534</v>
      </c>
      <c r="B1" s="1575" t="s">
        <v>184</v>
      </c>
      <c r="C1" s="1572" t="s">
        <v>535</v>
      </c>
      <c r="D1" s="1572" t="s">
        <v>186</v>
      </c>
      <c r="E1" s="1572" t="s">
        <v>187</v>
      </c>
      <c r="F1" s="1572" t="s">
        <v>536</v>
      </c>
      <c r="G1" s="1572" t="s">
        <v>189</v>
      </c>
      <c r="H1" s="1572" t="s">
        <v>527</v>
      </c>
      <c r="I1" s="1572" t="s">
        <v>255</v>
      </c>
      <c r="J1" s="1572" t="s">
        <v>537</v>
      </c>
      <c r="K1" s="1572" t="s">
        <v>538</v>
      </c>
      <c r="L1" s="1572" t="s">
        <v>539</v>
      </c>
      <c r="M1" s="1572" t="s">
        <v>540</v>
      </c>
      <c r="N1" s="1572" t="s">
        <v>541</v>
      </c>
      <c r="O1" s="1572" t="s">
        <v>196</v>
      </c>
      <c r="P1" s="1573" t="s">
        <v>197</v>
      </c>
      <c r="Q1" s="1572" t="s">
        <v>198</v>
      </c>
      <c r="R1" s="1572" t="s">
        <v>467</v>
      </c>
      <c r="S1" s="1572" t="s">
        <v>200</v>
      </c>
      <c r="T1" s="1573" t="s">
        <v>201</v>
      </c>
      <c r="U1" s="1572" t="s">
        <v>202</v>
      </c>
      <c r="V1" s="1572" t="s">
        <v>203</v>
      </c>
      <c r="W1" s="1572" t="s">
        <v>542</v>
      </c>
      <c r="X1" s="1572" t="s">
        <v>205</v>
      </c>
      <c r="Y1" s="1574" t="s">
        <v>1</v>
      </c>
      <c r="Z1" s="1576" t="s">
        <v>206</v>
      </c>
      <c r="AA1" s="567" t="s">
        <v>2</v>
      </c>
    </row>
    <row r="2" spans="1:27" ht="41.25" thickBot="1">
      <c r="A2" s="1568" t="s">
        <v>0</v>
      </c>
      <c r="B2" s="889" t="s">
        <v>600</v>
      </c>
      <c r="C2" s="1569" t="s">
        <v>600</v>
      </c>
      <c r="D2" s="1569" t="s">
        <v>600</v>
      </c>
      <c r="E2" s="1569" t="s">
        <v>600</v>
      </c>
      <c r="F2" s="1569" t="s">
        <v>600</v>
      </c>
      <c r="G2" s="1569" t="s">
        <v>600</v>
      </c>
      <c r="H2" s="1569" t="s">
        <v>600</v>
      </c>
      <c r="I2" s="1569" t="s">
        <v>600</v>
      </c>
      <c r="J2" s="1569" t="s">
        <v>600</v>
      </c>
      <c r="K2" s="1569" t="s">
        <v>600</v>
      </c>
      <c r="L2" s="1569" t="s">
        <v>600</v>
      </c>
      <c r="M2" s="1569" t="s">
        <v>600</v>
      </c>
      <c r="N2" s="1569" t="s">
        <v>600</v>
      </c>
      <c r="O2" s="1569" t="s">
        <v>600</v>
      </c>
      <c r="P2" s="1569" t="s">
        <v>600</v>
      </c>
      <c r="Q2" s="1569" t="s">
        <v>600</v>
      </c>
      <c r="R2" s="1569" t="s">
        <v>600</v>
      </c>
      <c r="S2" s="1569" t="s">
        <v>600</v>
      </c>
      <c r="T2" s="1569" t="s">
        <v>600</v>
      </c>
      <c r="U2" s="1569" t="s">
        <v>600</v>
      </c>
      <c r="V2" s="1569" t="s">
        <v>600</v>
      </c>
      <c r="W2" s="1569" t="s">
        <v>600</v>
      </c>
      <c r="X2" s="1569" t="s">
        <v>600</v>
      </c>
      <c r="Y2" s="1570" t="s">
        <v>600</v>
      </c>
      <c r="Z2" s="889" t="s">
        <v>600</v>
      </c>
      <c r="AA2" s="889" t="s">
        <v>600</v>
      </c>
    </row>
    <row r="3" spans="1:27" ht="16.5">
      <c r="A3" s="180" t="s">
        <v>543</v>
      </c>
      <c r="B3" s="1577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  <c r="R3" s="1578"/>
      <c r="S3" s="1578"/>
      <c r="T3" s="1578"/>
      <c r="U3" s="1578"/>
      <c r="V3" s="1578"/>
      <c r="W3" s="1578"/>
      <c r="X3" s="1578"/>
      <c r="Y3" s="1579"/>
      <c r="Z3" s="1577"/>
      <c r="AA3" s="1577"/>
    </row>
    <row r="4" spans="1:27" ht="16.5">
      <c r="A4" s="115" t="s">
        <v>544</v>
      </c>
      <c r="B4" s="1270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1269"/>
      <c r="R4" s="1269"/>
      <c r="S4" s="1269"/>
      <c r="T4" s="1269"/>
      <c r="U4" s="1269"/>
      <c r="V4" s="1269"/>
      <c r="W4" s="1269"/>
      <c r="X4" s="1269"/>
      <c r="Y4" s="1579"/>
      <c r="Z4" s="1270"/>
      <c r="AA4" s="1270"/>
    </row>
    <row r="5" spans="1:27" ht="16.5">
      <c r="A5" s="115" t="s">
        <v>545</v>
      </c>
      <c r="B5" s="1580">
        <v>19012080</v>
      </c>
      <c r="C5" s="1269">
        <v>14655990</v>
      </c>
      <c r="D5" s="1269"/>
      <c r="E5" s="1269">
        <v>1507090</v>
      </c>
      <c r="F5" s="1269">
        <v>28912010</v>
      </c>
      <c r="G5" s="1269">
        <v>9500000</v>
      </c>
      <c r="H5" s="1269">
        <v>3740619</v>
      </c>
      <c r="I5" s="1269">
        <v>3126209</v>
      </c>
      <c r="J5" s="1269">
        <v>18500000</v>
      </c>
      <c r="K5" s="1269">
        <v>19358206</v>
      </c>
      <c r="L5" s="1269">
        <v>20187984</v>
      </c>
      <c r="M5" s="1269">
        <v>14358626</v>
      </c>
      <c r="N5" s="1269">
        <v>8000000</v>
      </c>
      <c r="O5" s="1269">
        <v>6350000</v>
      </c>
      <c r="P5" s="1269">
        <v>5102902</v>
      </c>
      <c r="Q5" s="1269">
        <v>19188129</v>
      </c>
      <c r="R5" s="1269">
        <v>20128843</v>
      </c>
      <c r="S5" s="1269">
        <v>11963235</v>
      </c>
      <c r="T5" s="1269"/>
      <c r="U5" s="1269">
        <v>10000263</v>
      </c>
      <c r="V5" s="1269">
        <v>1757279</v>
      </c>
      <c r="W5" s="1269">
        <v>2589641</v>
      </c>
      <c r="X5" s="1269">
        <v>19535000</v>
      </c>
      <c r="Y5" s="1275">
        <f aca="true" t="shared" si="0" ref="Y5:Y36">SUM(B5+C5+D5+E5+F5+G5+H5+I5+J5+K5+L5+M5+N5+O5+P5+Q5+R5+S5+T5+U5+V5+W5+X5)</f>
        <v>257474106</v>
      </c>
      <c r="Z5" s="1270"/>
      <c r="AA5" s="1270">
        <f aca="true" t="shared" si="1" ref="AA5:AA36">Y5+Z5</f>
        <v>257474106</v>
      </c>
    </row>
    <row r="6" spans="1:27" ht="16.5">
      <c r="A6" s="115" t="s">
        <v>546</v>
      </c>
      <c r="B6" s="1580"/>
      <c r="C6" s="1269"/>
      <c r="D6" s="1269"/>
      <c r="E6" s="1269"/>
      <c r="F6" s="1269"/>
      <c r="G6" s="1269"/>
      <c r="H6" s="1269"/>
      <c r="I6" s="1269"/>
      <c r="J6" s="1269"/>
      <c r="K6" s="1269"/>
      <c r="L6" s="1269">
        <v>55918</v>
      </c>
      <c r="M6" s="1269"/>
      <c r="N6" s="1269"/>
      <c r="O6" s="1269"/>
      <c r="P6" s="1269"/>
      <c r="Q6" s="1269"/>
      <c r="R6" s="1269"/>
      <c r="S6" s="1269"/>
      <c r="T6" s="1269"/>
      <c r="U6" s="1269"/>
      <c r="V6" s="1269"/>
      <c r="W6" s="1269"/>
      <c r="X6" s="1269"/>
      <c r="Y6" s="1275">
        <f t="shared" si="0"/>
        <v>55918</v>
      </c>
      <c r="Z6" s="1270"/>
      <c r="AA6" s="1270">
        <f t="shared" si="1"/>
        <v>55918</v>
      </c>
    </row>
    <row r="7" spans="1:27" ht="16.5">
      <c r="A7" s="115" t="s">
        <v>547</v>
      </c>
      <c r="B7" s="1580">
        <v>3003737</v>
      </c>
      <c r="C7" s="1269">
        <v>7674705</v>
      </c>
      <c r="D7" s="1269"/>
      <c r="E7" s="1269">
        <v>97693747</v>
      </c>
      <c r="F7" s="1269">
        <v>2121557</v>
      </c>
      <c r="G7" s="1269">
        <v>2355083</v>
      </c>
      <c r="H7" s="1269">
        <v>8329217</v>
      </c>
      <c r="I7" s="1269">
        <v>16882622</v>
      </c>
      <c r="J7" s="1269"/>
      <c r="K7" s="1269"/>
      <c r="L7" s="1269">
        <v>49675008</v>
      </c>
      <c r="M7" s="1269">
        <v>60994251</v>
      </c>
      <c r="N7" s="1269">
        <v>1191627</v>
      </c>
      <c r="O7" s="1269">
        <v>2800000</v>
      </c>
      <c r="P7" s="1269">
        <v>28432496</v>
      </c>
      <c r="Q7" s="1269">
        <v>6805838</v>
      </c>
      <c r="R7" s="1269"/>
      <c r="S7" s="1269">
        <v>3031592</v>
      </c>
      <c r="T7" s="1269"/>
      <c r="U7" s="1269">
        <v>78838921</v>
      </c>
      <c r="V7" s="1269">
        <v>4714639</v>
      </c>
      <c r="W7" s="1269">
        <v>3965747</v>
      </c>
      <c r="X7" s="1269">
        <v>1601322</v>
      </c>
      <c r="Y7" s="1275">
        <f t="shared" si="0"/>
        <v>380112109</v>
      </c>
      <c r="Z7" s="1270"/>
      <c r="AA7" s="1270">
        <f t="shared" si="1"/>
        <v>380112109</v>
      </c>
    </row>
    <row r="8" spans="1:27" ht="16.5">
      <c r="A8" s="115" t="s">
        <v>548</v>
      </c>
      <c r="B8" s="1580">
        <v>-18009</v>
      </c>
      <c r="C8" s="1269"/>
      <c r="D8" s="1269"/>
      <c r="E8" s="1269">
        <v>-1893725</v>
      </c>
      <c r="F8" s="1269">
        <v>-76149</v>
      </c>
      <c r="G8" s="1269">
        <v>34330</v>
      </c>
      <c r="H8" s="1269">
        <v>-341850</v>
      </c>
      <c r="I8" s="1269">
        <v>-30102</v>
      </c>
      <c r="J8" s="1269">
        <v>1</v>
      </c>
      <c r="K8" s="1269">
        <v>-35957</v>
      </c>
      <c r="L8" s="1269">
        <v>-1919672</v>
      </c>
      <c r="M8" s="1269">
        <v>-3228268</v>
      </c>
      <c r="N8" s="1269">
        <v>-123426</v>
      </c>
      <c r="O8" s="1269">
        <v>12173</v>
      </c>
      <c r="P8" s="1269">
        <v>-2623</v>
      </c>
      <c r="Q8" s="1269">
        <v>-255072</v>
      </c>
      <c r="R8" s="1269">
        <v>-38436</v>
      </c>
      <c r="S8" s="1269">
        <v>-567418</v>
      </c>
      <c r="T8" s="1269"/>
      <c r="U8" s="1269">
        <v>-1408346</v>
      </c>
      <c r="V8" s="1269">
        <v>-334693</v>
      </c>
      <c r="W8" s="1269">
        <v>13785</v>
      </c>
      <c r="X8" s="1269"/>
      <c r="Y8" s="1275">
        <f t="shared" si="0"/>
        <v>-10213457</v>
      </c>
      <c r="Z8" s="1270"/>
      <c r="AA8" s="1270">
        <f t="shared" si="1"/>
        <v>-10213457</v>
      </c>
    </row>
    <row r="9" spans="1:27" ht="16.5">
      <c r="A9" s="115" t="s">
        <v>549</v>
      </c>
      <c r="B9" s="1580"/>
      <c r="C9" s="1269"/>
      <c r="D9" s="1269"/>
      <c r="E9" s="1269"/>
      <c r="F9" s="1269"/>
      <c r="G9" s="1269"/>
      <c r="H9" s="1269"/>
      <c r="I9" s="1269"/>
      <c r="J9" s="1269"/>
      <c r="K9" s="1269"/>
      <c r="L9" s="1269"/>
      <c r="M9" s="1269">
        <v>20</v>
      </c>
      <c r="N9" s="1269"/>
      <c r="O9" s="1269"/>
      <c r="P9" s="1269"/>
      <c r="Q9" s="1269"/>
      <c r="R9" s="1269"/>
      <c r="S9" s="1269"/>
      <c r="T9" s="1269"/>
      <c r="U9" s="1269"/>
      <c r="V9" s="1269"/>
      <c r="W9" s="1269"/>
      <c r="X9" s="1269"/>
      <c r="Y9" s="1275">
        <f t="shared" si="0"/>
        <v>20</v>
      </c>
      <c r="Z9" s="1270"/>
      <c r="AA9" s="1270">
        <f t="shared" si="1"/>
        <v>20</v>
      </c>
    </row>
    <row r="10" spans="1:27" ht="18">
      <c r="A10" s="143" t="s">
        <v>550</v>
      </c>
      <c r="B10" s="1581">
        <f aca="true" t="shared" si="2" ref="B10:L10">SUM(B5:B8)</f>
        <v>21997808</v>
      </c>
      <c r="C10" s="1582">
        <f t="shared" si="2"/>
        <v>22330695</v>
      </c>
      <c r="D10" s="1582">
        <f t="shared" si="2"/>
        <v>0</v>
      </c>
      <c r="E10" s="1582">
        <f t="shared" si="2"/>
        <v>97307112</v>
      </c>
      <c r="F10" s="1582">
        <f t="shared" si="2"/>
        <v>30957418</v>
      </c>
      <c r="G10" s="1582">
        <f t="shared" si="2"/>
        <v>11889413</v>
      </c>
      <c r="H10" s="1582">
        <f t="shared" si="2"/>
        <v>11727986</v>
      </c>
      <c r="I10" s="1582">
        <f t="shared" si="2"/>
        <v>19978729</v>
      </c>
      <c r="J10" s="1582">
        <f t="shared" si="2"/>
        <v>18500001</v>
      </c>
      <c r="K10" s="1582">
        <f t="shared" si="2"/>
        <v>19322249</v>
      </c>
      <c r="L10" s="1582">
        <f t="shared" si="2"/>
        <v>67999238</v>
      </c>
      <c r="M10" s="1582">
        <f>SUM(M5:M9)</f>
        <v>72124629</v>
      </c>
      <c r="N10" s="1582">
        <f aca="true" t="shared" si="3" ref="N10:X10">SUM(N5:N8)</f>
        <v>9068201</v>
      </c>
      <c r="O10" s="1582">
        <f t="shared" si="3"/>
        <v>9162173</v>
      </c>
      <c r="P10" s="1582">
        <f t="shared" si="3"/>
        <v>33532775</v>
      </c>
      <c r="Q10" s="1582">
        <f t="shared" si="3"/>
        <v>25738895</v>
      </c>
      <c r="R10" s="1582">
        <f t="shared" si="3"/>
        <v>20090407</v>
      </c>
      <c r="S10" s="1582">
        <f t="shared" si="3"/>
        <v>14427409</v>
      </c>
      <c r="T10" s="1582">
        <f t="shared" si="3"/>
        <v>0</v>
      </c>
      <c r="U10" s="1582">
        <f t="shared" si="3"/>
        <v>87430838</v>
      </c>
      <c r="V10" s="1582">
        <f t="shared" si="3"/>
        <v>6137225</v>
      </c>
      <c r="W10" s="1582">
        <f t="shared" si="3"/>
        <v>6569173</v>
      </c>
      <c r="X10" s="1582">
        <f t="shared" si="3"/>
        <v>21136322</v>
      </c>
      <c r="Y10" s="1275">
        <f t="shared" si="0"/>
        <v>627428696</v>
      </c>
      <c r="Z10" s="1583">
        <f>SUM(Z5:Z9)</f>
        <v>0</v>
      </c>
      <c r="AA10" s="1270">
        <f t="shared" si="1"/>
        <v>627428696</v>
      </c>
    </row>
    <row r="11" spans="1:27" ht="16.5">
      <c r="A11" s="115" t="s">
        <v>551</v>
      </c>
      <c r="B11" s="1580"/>
      <c r="C11" s="1269">
        <v>700000</v>
      </c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69">
        <v>1000000</v>
      </c>
      <c r="P11" s="1269"/>
      <c r="Q11" s="1269"/>
      <c r="R11" s="1269"/>
      <c r="S11" s="1269"/>
      <c r="T11" s="1269"/>
      <c r="U11" s="1269"/>
      <c r="V11" s="1269"/>
      <c r="W11" s="1269"/>
      <c r="X11" s="1269"/>
      <c r="Y11" s="1275">
        <f t="shared" si="0"/>
        <v>1700000</v>
      </c>
      <c r="Z11" s="1270"/>
      <c r="AA11" s="1270">
        <f t="shared" si="1"/>
        <v>1700000</v>
      </c>
    </row>
    <row r="12" spans="1:27" ht="16.5">
      <c r="A12" s="143" t="s">
        <v>552</v>
      </c>
      <c r="B12" s="1580"/>
      <c r="C12" s="1269"/>
      <c r="D12" s="1269"/>
      <c r="E12" s="1269"/>
      <c r="F12" s="1269">
        <v>600000</v>
      </c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75">
        <f t="shared" si="0"/>
        <v>600000</v>
      </c>
      <c r="Z12" s="1270"/>
      <c r="AA12" s="1270">
        <f t="shared" si="1"/>
        <v>600000</v>
      </c>
    </row>
    <row r="13" spans="1:27" ht="16.5">
      <c r="A13" s="115" t="s">
        <v>548</v>
      </c>
      <c r="B13" s="1580">
        <v>-746127</v>
      </c>
      <c r="C13" s="1269">
        <v>-89425</v>
      </c>
      <c r="D13" s="1269"/>
      <c r="E13" s="1269">
        <v>1488680</v>
      </c>
      <c r="F13" s="1269">
        <v>-188448</v>
      </c>
      <c r="G13" s="1269">
        <v>-249972</v>
      </c>
      <c r="H13" s="1269">
        <v>12240</v>
      </c>
      <c r="I13" s="1269">
        <v>67260</v>
      </c>
      <c r="J13" s="1269">
        <v>-1075024</v>
      </c>
      <c r="K13" s="1269">
        <v>-205035</v>
      </c>
      <c r="L13" s="1269">
        <v>496009</v>
      </c>
      <c r="M13" s="1269">
        <v>-2525304</v>
      </c>
      <c r="N13" s="1269">
        <v>-819963</v>
      </c>
      <c r="O13" s="1269">
        <v>-243574</v>
      </c>
      <c r="P13" s="1269">
        <v>-98476</v>
      </c>
      <c r="Q13" s="1269">
        <v>-5724369</v>
      </c>
      <c r="R13" s="1269">
        <v>-718438</v>
      </c>
      <c r="S13" s="1269">
        <v>-3949334</v>
      </c>
      <c r="T13" s="1269"/>
      <c r="U13" s="1269">
        <v>-15871946</v>
      </c>
      <c r="V13" s="1269">
        <v>-458785</v>
      </c>
      <c r="W13" s="1269">
        <v>-392108</v>
      </c>
      <c r="X13" s="1269">
        <v>2383140</v>
      </c>
      <c r="Y13" s="1275">
        <f t="shared" si="0"/>
        <v>-28908999</v>
      </c>
      <c r="Z13" s="1270"/>
      <c r="AA13" s="1270">
        <f t="shared" si="1"/>
        <v>-28908999</v>
      </c>
    </row>
    <row r="14" spans="1:27" ht="16.5">
      <c r="A14" s="115" t="s">
        <v>553</v>
      </c>
      <c r="B14" s="1580"/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>
        <v>655199</v>
      </c>
      <c r="N14" s="1269"/>
      <c r="O14" s="1269"/>
      <c r="P14" s="1269">
        <v>433139</v>
      </c>
      <c r="Q14" s="1269">
        <v>22248</v>
      </c>
      <c r="R14" s="1269"/>
      <c r="S14" s="1269"/>
      <c r="T14" s="1269"/>
      <c r="U14" s="1269"/>
      <c r="V14" s="1269"/>
      <c r="W14" s="1269"/>
      <c r="X14" s="1269"/>
      <c r="Y14" s="1275">
        <f t="shared" si="0"/>
        <v>1110586</v>
      </c>
      <c r="Z14" s="1270"/>
      <c r="AA14" s="1270">
        <f t="shared" si="1"/>
        <v>1110586</v>
      </c>
    </row>
    <row r="15" spans="1:27" ht="16.5">
      <c r="A15" s="115" t="s">
        <v>554</v>
      </c>
      <c r="B15" s="1580"/>
      <c r="C15" s="1269"/>
      <c r="D15" s="1269"/>
      <c r="E15" s="1269">
        <v>268957413</v>
      </c>
      <c r="F15" s="1269"/>
      <c r="G15" s="1269"/>
      <c r="H15" s="1269"/>
      <c r="I15" s="1269"/>
      <c r="J15" s="1269"/>
      <c r="K15" s="1269"/>
      <c r="L15" s="1269"/>
      <c r="M15" s="1269">
        <v>473556242</v>
      </c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75">
        <f t="shared" si="0"/>
        <v>742513655</v>
      </c>
      <c r="Z15" s="1270"/>
      <c r="AA15" s="1270">
        <f t="shared" si="1"/>
        <v>742513655</v>
      </c>
    </row>
    <row r="16" spans="1:27" ht="16.5">
      <c r="A16" s="143" t="s">
        <v>555</v>
      </c>
      <c r="B16" s="1580">
        <v>171245026</v>
      </c>
      <c r="C16" s="1269">
        <v>15226081</v>
      </c>
      <c r="D16" s="1269"/>
      <c r="E16" s="1269"/>
      <c r="F16" s="1269">
        <v>58633685</v>
      </c>
      <c r="G16" s="1269">
        <v>59820601</v>
      </c>
      <c r="H16" s="1269">
        <v>38078450</v>
      </c>
      <c r="I16" s="1269">
        <v>19952227</v>
      </c>
      <c r="J16" s="1269">
        <f>77640765+119850+30313579+1332253+8428237+9944865</f>
        <v>127779549</v>
      </c>
      <c r="K16" s="1269">
        <v>36040198</v>
      </c>
      <c r="L16" s="1269">
        <v>652708146</v>
      </c>
      <c r="M16" s="1269">
        <v>1444406009</v>
      </c>
      <c r="N16" s="1269">
        <v>65900134</v>
      </c>
      <c r="O16" s="1269">
        <v>99165208</v>
      </c>
      <c r="P16" s="1269">
        <v>178607126</v>
      </c>
      <c r="Q16" s="1269">
        <v>454807482</v>
      </c>
      <c r="R16" s="1269">
        <v>157969292</v>
      </c>
      <c r="S16" s="1269">
        <v>147796199</v>
      </c>
      <c r="T16" s="1269"/>
      <c r="U16" s="1269">
        <v>761230063</v>
      </c>
      <c r="V16" s="1269">
        <v>41196632</v>
      </c>
      <c r="W16" s="1269">
        <v>66726803</v>
      </c>
      <c r="X16" s="1269">
        <v>194508709</v>
      </c>
      <c r="Y16" s="1275">
        <f t="shared" si="0"/>
        <v>4791797620</v>
      </c>
      <c r="Z16" s="1270"/>
      <c r="AA16" s="1270">
        <f t="shared" si="1"/>
        <v>4791797620</v>
      </c>
    </row>
    <row r="17" spans="1:27" ht="16.5">
      <c r="A17" s="115" t="s">
        <v>556</v>
      </c>
      <c r="B17" s="1580"/>
      <c r="C17" s="1269"/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75">
        <f t="shared" si="0"/>
        <v>0</v>
      </c>
      <c r="Z17" s="1270"/>
      <c r="AA17" s="1270">
        <f t="shared" si="1"/>
        <v>0</v>
      </c>
    </row>
    <row r="18" spans="1:27" ht="16.5">
      <c r="A18" s="143" t="s">
        <v>555</v>
      </c>
      <c r="B18" s="1580"/>
      <c r="C18" s="1269"/>
      <c r="D18" s="1269"/>
      <c r="E18" s="1269"/>
      <c r="F18" s="1269"/>
      <c r="G18" s="1269"/>
      <c r="H18" s="1269"/>
      <c r="I18" s="1269"/>
      <c r="J18" s="1269"/>
      <c r="K18" s="1269"/>
      <c r="L18" s="1269"/>
      <c r="M18" s="1269"/>
      <c r="N18" s="1269"/>
      <c r="O18" s="1269"/>
      <c r="P18" s="1269"/>
      <c r="Q18" s="1269"/>
      <c r="R18" s="1269"/>
      <c r="S18" s="1269">
        <v>40388336</v>
      </c>
      <c r="T18" s="1269"/>
      <c r="U18" s="1269"/>
      <c r="V18" s="1269"/>
      <c r="W18" s="1269"/>
      <c r="X18" s="1269"/>
      <c r="Y18" s="1275">
        <f t="shared" si="0"/>
        <v>40388336</v>
      </c>
      <c r="Z18" s="1270"/>
      <c r="AA18" s="1270">
        <f t="shared" si="1"/>
        <v>40388336</v>
      </c>
    </row>
    <row r="19" spans="1:27" ht="16.5">
      <c r="A19" s="115" t="s">
        <v>397</v>
      </c>
      <c r="B19" s="1580">
        <v>228960771</v>
      </c>
      <c r="C19" s="1269"/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>
        <v>4139117</v>
      </c>
      <c r="W19" s="1269"/>
      <c r="X19" s="1269"/>
      <c r="Y19" s="1275">
        <f t="shared" si="0"/>
        <v>233099888</v>
      </c>
      <c r="Z19" s="1270"/>
      <c r="AA19" s="1270">
        <f t="shared" si="1"/>
        <v>233099888</v>
      </c>
    </row>
    <row r="20" spans="1:27" ht="16.5">
      <c r="A20" s="115" t="s">
        <v>557</v>
      </c>
      <c r="B20" s="1580"/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75">
        <f t="shared" si="0"/>
        <v>0</v>
      </c>
      <c r="Z20" s="1270"/>
      <c r="AA20" s="1270">
        <f t="shared" si="1"/>
        <v>0</v>
      </c>
    </row>
    <row r="21" spans="1:27" ht="16.5">
      <c r="A21" s="143" t="s">
        <v>558</v>
      </c>
      <c r="B21" s="1580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75">
        <f t="shared" si="0"/>
        <v>0</v>
      </c>
      <c r="Z21" s="1270"/>
      <c r="AA21" s="1270">
        <f t="shared" si="1"/>
        <v>0</v>
      </c>
    </row>
    <row r="22" spans="1:27" ht="16.5">
      <c r="A22" s="115" t="s">
        <v>559</v>
      </c>
      <c r="B22" s="1580"/>
      <c r="C22" s="1269"/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75">
        <f t="shared" si="0"/>
        <v>0</v>
      </c>
      <c r="Z22" s="1270"/>
      <c r="AA22" s="1270">
        <f t="shared" si="1"/>
        <v>0</v>
      </c>
    </row>
    <row r="23" spans="1:27" ht="16.5">
      <c r="A23" s="115" t="s">
        <v>560</v>
      </c>
      <c r="B23" s="1580"/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75">
        <f t="shared" si="0"/>
        <v>0</v>
      </c>
      <c r="Z23" s="1270"/>
      <c r="AA23" s="1270">
        <f t="shared" si="1"/>
        <v>0</v>
      </c>
    </row>
    <row r="24" spans="1:27" ht="16.5">
      <c r="A24" s="143" t="s">
        <v>561</v>
      </c>
      <c r="B24" s="1580"/>
      <c r="C24" s="1269">
        <v>8251230</v>
      </c>
      <c r="D24" s="1269"/>
      <c r="E24" s="1269">
        <v>198715103</v>
      </c>
      <c r="F24" s="1269">
        <v>8910278</v>
      </c>
      <c r="G24" s="1269">
        <f>80723473+922587</f>
        <v>81646060</v>
      </c>
      <c r="H24" s="1269">
        <v>3144462</v>
      </c>
      <c r="I24" s="1269">
        <v>7622632</v>
      </c>
      <c r="J24" s="1269">
        <v>16373582</v>
      </c>
      <c r="K24" s="1269">
        <v>4849222</v>
      </c>
      <c r="L24" s="1269">
        <v>543767510</v>
      </c>
      <c r="M24" s="1269">
        <v>-109396502</v>
      </c>
      <c r="N24" s="1269">
        <v>23722497</v>
      </c>
      <c r="O24" s="1269">
        <v>37158745</v>
      </c>
      <c r="P24" s="1269">
        <v>129630886</v>
      </c>
      <c r="Q24" s="1269">
        <v>174210481</v>
      </c>
      <c r="R24" s="1269">
        <v>529000</v>
      </c>
      <c r="S24" s="1269"/>
      <c r="T24" s="1269"/>
      <c r="U24" s="1269">
        <v>763007277</v>
      </c>
      <c r="V24" s="1269"/>
      <c r="W24" s="1269">
        <v>19678939</v>
      </c>
      <c r="X24" s="1269">
        <v>88770771</v>
      </c>
      <c r="Y24" s="1275">
        <f t="shared" si="0"/>
        <v>2000592173</v>
      </c>
      <c r="Z24" s="1270"/>
      <c r="AA24" s="1270">
        <f t="shared" si="1"/>
        <v>2000592173</v>
      </c>
    </row>
    <row r="25" spans="1:27" ht="16.5">
      <c r="A25" s="115" t="s">
        <v>562</v>
      </c>
      <c r="B25" s="1580"/>
      <c r="C25" s="1269">
        <v>-1373179</v>
      </c>
      <c r="D25" s="1269"/>
      <c r="E25" s="1269">
        <v>-17383616</v>
      </c>
      <c r="F25" s="1269"/>
      <c r="G25" s="1269">
        <v>-6608222</v>
      </c>
      <c r="H25" s="1269"/>
      <c r="I25" s="1269">
        <v>-1255392</v>
      </c>
      <c r="J25" s="1269">
        <v>-612412</v>
      </c>
      <c r="K25" s="1269"/>
      <c r="L25" s="1269">
        <v>-35325617</v>
      </c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>
        <v>-1224705</v>
      </c>
      <c r="X25" s="1269"/>
      <c r="Y25" s="1275">
        <f t="shared" si="0"/>
        <v>-63783143</v>
      </c>
      <c r="Z25" s="1270"/>
      <c r="AA25" s="1270">
        <f t="shared" si="1"/>
        <v>-63783143</v>
      </c>
    </row>
    <row r="26" spans="1:27" ht="16.5">
      <c r="A26" s="115" t="s">
        <v>563</v>
      </c>
      <c r="B26" s="1580"/>
      <c r="C26" s="1269"/>
      <c r="D26" s="1269"/>
      <c r="E26" s="1269"/>
      <c r="F26" s="1269"/>
      <c r="G26" s="1269"/>
      <c r="H26" s="1269"/>
      <c r="I26" s="1269"/>
      <c r="J26" s="1269">
        <v>106175</v>
      </c>
      <c r="K26" s="1269"/>
      <c r="L26" s="1269"/>
      <c r="M26" s="1269"/>
      <c r="N26" s="1269"/>
      <c r="O26" s="1269"/>
      <c r="P26" s="1269"/>
      <c r="Q26" s="1269"/>
      <c r="R26" s="1269">
        <v>47030829</v>
      </c>
      <c r="S26" s="1269"/>
      <c r="T26" s="1269"/>
      <c r="U26" s="1269"/>
      <c r="V26" s="1269"/>
      <c r="W26" s="1269"/>
      <c r="X26" s="1269">
        <v>3203</v>
      </c>
      <c r="Y26" s="1275">
        <f t="shared" si="0"/>
        <v>47140207</v>
      </c>
      <c r="Z26" s="1270"/>
      <c r="AA26" s="1270">
        <f t="shared" si="1"/>
        <v>47140207</v>
      </c>
    </row>
    <row r="27" spans="1:27" ht="16.5">
      <c r="A27" s="143" t="s">
        <v>564</v>
      </c>
      <c r="B27" s="1580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>
        <v>90482247</v>
      </c>
      <c r="N27" s="1269">
        <v>1335569</v>
      </c>
      <c r="O27" s="1269">
        <v>2402481</v>
      </c>
      <c r="P27" s="1269">
        <v>3844306</v>
      </c>
      <c r="Q27" s="1269">
        <v>17431093</v>
      </c>
      <c r="R27" s="1269"/>
      <c r="S27" s="1269">
        <v>3331216</v>
      </c>
      <c r="T27" s="1269"/>
      <c r="U27" s="1269"/>
      <c r="V27" s="1269"/>
      <c r="W27" s="1269"/>
      <c r="X27" s="1269"/>
      <c r="Y27" s="1275">
        <f t="shared" si="0"/>
        <v>118826912</v>
      </c>
      <c r="Z27" s="1270"/>
      <c r="AA27" s="1270">
        <f t="shared" si="1"/>
        <v>118826912</v>
      </c>
    </row>
    <row r="28" spans="1:27" ht="16.5">
      <c r="A28" s="115" t="s">
        <v>565</v>
      </c>
      <c r="B28" s="1580">
        <v>6184239</v>
      </c>
      <c r="C28" s="1269">
        <v>882419</v>
      </c>
      <c r="D28" s="1269"/>
      <c r="E28" s="1269">
        <v>11221641</v>
      </c>
      <c r="F28" s="1269">
        <v>86558</v>
      </c>
      <c r="G28" s="1269">
        <v>6442153</v>
      </c>
      <c r="H28" s="1269"/>
      <c r="I28" s="1269">
        <v>1049448</v>
      </c>
      <c r="J28" s="1269">
        <f>1115858+519388</f>
        <v>1635246</v>
      </c>
      <c r="K28" s="1269">
        <v>852245</v>
      </c>
      <c r="L28" s="1269">
        <v>33279021</v>
      </c>
      <c r="M28" s="1269"/>
      <c r="N28" s="1269"/>
      <c r="O28" s="1269"/>
      <c r="P28" s="1269"/>
      <c r="Q28" s="1269"/>
      <c r="R28" s="1269">
        <v>5658369</v>
      </c>
      <c r="S28" s="1269"/>
      <c r="T28" s="1269"/>
      <c r="U28" s="1269">
        <v>50504363</v>
      </c>
      <c r="V28" s="1269">
        <v>194540</v>
      </c>
      <c r="W28" s="1269">
        <v>1756662</v>
      </c>
      <c r="X28" s="1269">
        <v>6213279</v>
      </c>
      <c r="Y28" s="1275">
        <f t="shared" si="0"/>
        <v>125960183</v>
      </c>
      <c r="Z28" s="1270"/>
      <c r="AA28" s="1270">
        <f t="shared" si="1"/>
        <v>125960183</v>
      </c>
    </row>
    <row r="29" spans="1:27" ht="16.5">
      <c r="A29" s="115" t="s">
        <v>566</v>
      </c>
      <c r="B29" s="1580"/>
      <c r="C29" s="1269">
        <v>12081</v>
      </c>
      <c r="D29" s="1269"/>
      <c r="E29" s="1269">
        <v>70456</v>
      </c>
      <c r="F29" s="1269"/>
      <c r="G29" s="1269">
        <v>73830</v>
      </c>
      <c r="H29" s="1269"/>
      <c r="I29" s="1269"/>
      <c r="J29" s="1269"/>
      <c r="K29" s="1269"/>
      <c r="L29" s="1269">
        <v>99841</v>
      </c>
      <c r="M29" s="1269"/>
      <c r="N29" s="1269"/>
      <c r="O29" s="1269"/>
      <c r="P29" s="1269"/>
      <c r="Q29" s="1269"/>
      <c r="R29" s="1269"/>
      <c r="S29" s="1269"/>
      <c r="T29" s="1269"/>
      <c r="U29" s="1269">
        <v>746681</v>
      </c>
      <c r="V29" s="1269"/>
      <c r="W29" s="1269">
        <v>1579</v>
      </c>
      <c r="X29" s="1269">
        <v>38134</v>
      </c>
      <c r="Y29" s="1275">
        <f t="shared" si="0"/>
        <v>1042602</v>
      </c>
      <c r="Z29" s="1270"/>
      <c r="AA29" s="1270">
        <f t="shared" si="1"/>
        <v>1042602</v>
      </c>
    </row>
    <row r="30" spans="1:27" ht="16.5">
      <c r="A30" s="115" t="s">
        <v>567</v>
      </c>
      <c r="B30" s="1580">
        <v>-6595601</v>
      </c>
      <c r="C30" s="1269"/>
      <c r="D30" s="1269"/>
      <c r="E30" s="1269">
        <v>-960</v>
      </c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75">
        <f t="shared" si="0"/>
        <v>-6596561</v>
      </c>
      <c r="Z30" s="1270"/>
      <c r="AA30" s="1270">
        <f t="shared" si="1"/>
        <v>-6596561</v>
      </c>
    </row>
    <row r="31" spans="1:27" ht="16.5">
      <c r="A31" s="115" t="s">
        <v>568</v>
      </c>
      <c r="B31" s="1580"/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75">
        <f t="shared" si="0"/>
        <v>0</v>
      </c>
      <c r="Z31" s="1270"/>
      <c r="AA31" s="1270">
        <f t="shared" si="1"/>
        <v>0</v>
      </c>
    </row>
    <row r="32" spans="1:27" ht="16.5">
      <c r="A32" s="143" t="s">
        <v>569</v>
      </c>
      <c r="B32" s="1580"/>
      <c r="C32" s="1269"/>
      <c r="D32" s="1269"/>
      <c r="E32" s="1269"/>
      <c r="F32" s="1269">
        <v>988312</v>
      </c>
      <c r="G32" s="1269">
        <v>2401389</v>
      </c>
      <c r="H32" s="1269"/>
      <c r="I32" s="1269">
        <v>48824</v>
      </c>
      <c r="J32" s="1269">
        <v>3410880</v>
      </c>
      <c r="K32" s="1269">
        <v>2227255</v>
      </c>
      <c r="L32" s="1269">
        <v>8830340</v>
      </c>
      <c r="M32" s="1269"/>
      <c r="N32" s="1269">
        <v>593094</v>
      </c>
      <c r="O32" s="1269">
        <v>792746</v>
      </c>
      <c r="P32" s="1269">
        <v>2501687</v>
      </c>
      <c r="Q32" s="1269"/>
      <c r="R32" s="1269">
        <v>4422583</v>
      </c>
      <c r="S32" s="1269">
        <v>3228366</v>
      </c>
      <c r="T32" s="1269"/>
      <c r="U32" s="1269">
        <v>7136661</v>
      </c>
      <c r="V32" s="1269">
        <v>312715</v>
      </c>
      <c r="W32" s="1269">
        <v>2141384</v>
      </c>
      <c r="X32" s="1269">
        <v>6138712</v>
      </c>
      <c r="Y32" s="1275">
        <f t="shared" si="0"/>
        <v>45174948</v>
      </c>
      <c r="Z32" s="1270"/>
      <c r="AA32" s="1270">
        <f t="shared" si="1"/>
        <v>45174948</v>
      </c>
    </row>
    <row r="33" spans="1:27" ht="16.5">
      <c r="A33" s="115" t="s">
        <v>397</v>
      </c>
      <c r="B33" s="1580">
        <v>115057</v>
      </c>
      <c r="C33" s="1269"/>
      <c r="D33" s="1269"/>
      <c r="E33" s="1269">
        <v>9829171</v>
      </c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75">
        <f t="shared" si="0"/>
        <v>9944228</v>
      </c>
      <c r="Z33" s="1270"/>
      <c r="AA33" s="1270">
        <f t="shared" si="1"/>
        <v>9944228</v>
      </c>
    </row>
    <row r="34" spans="1:27" ht="16.5">
      <c r="A34" s="115" t="s">
        <v>557</v>
      </c>
      <c r="B34" s="1580"/>
      <c r="C34" s="1269">
        <v>1486035</v>
      </c>
      <c r="D34" s="1269"/>
      <c r="E34" s="1269"/>
      <c r="F34" s="1269"/>
      <c r="G34" s="1269"/>
      <c r="H34" s="1269"/>
      <c r="I34" s="1269"/>
      <c r="J34" s="1269"/>
      <c r="K34" s="1269"/>
      <c r="L34" s="1269"/>
      <c r="M34" s="1269">
        <v>12326605</v>
      </c>
      <c r="N34" s="1269"/>
      <c r="O34" s="1269"/>
      <c r="P34" s="1269"/>
      <c r="Q34" s="1269">
        <v>30962301</v>
      </c>
      <c r="R34" s="1269"/>
      <c r="S34" s="1269"/>
      <c r="T34" s="1269"/>
      <c r="U34" s="1269"/>
      <c r="V34" s="1269"/>
      <c r="W34" s="1269"/>
      <c r="X34" s="1269"/>
      <c r="Y34" s="1275">
        <f t="shared" si="0"/>
        <v>44774941</v>
      </c>
      <c r="Z34" s="1270"/>
      <c r="AA34" s="1270">
        <f t="shared" si="1"/>
        <v>44774941</v>
      </c>
    </row>
    <row r="35" spans="1:27" ht="16.5">
      <c r="A35" s="115" t="s">
        <v>74</v>
      </c>
      <c r="B35" s="1580"/>
      <c r="C35" s="1269"/>
      <c r="D35" s="1269"/>
      <c r="E35" s="1269"/>
      <c r="F35" s="1269"/>
      <c r="G35" s="1269"/>
      <c r="H35" s="1269"/>
      <c r="I35" s="1269"/>
      <c r="J35" s="1269"/>
      <c r="K35" s="1269"/>
      <c r="L35" s="1269"/>
      <c r="M35" s="1269"/>
      <c r="N35" s="1269"/>
      <c r="O35" s="1269"/>
      <c r="P35" s="1269"/>
      <c r="Q35" s="1269"/>
      <c r="R35" s="1269"/>
      <c r="S35" s="1269"/>
      <c r="T35" s="1269"/>
      <c r="U35" s="1269"/>
      <c r="V35" s="1269"/>
      <c r="W35" s="1269"/>
      <c r="X35" s="1269"/>
      <c r="Y35" s="1275">
        <f t="shared" si="0"/>
        <v>0</v>
      </c>
      <c r="Z35" s="1270"/>
      <c r="AA35" s="1270">
        <f t="shared" si="1"/>
        <v>0</v>
      </c>
    </row>
    <row r="36" spans="1:27" s="179" customFormat="1" ht="18">
      <c r="A36" s="143" t="s">
        <v>570</v>
      </c>
      <c r="B36" s="1581">
        <v>420861173</v>
      </c>
      <c r="C36" s="1584">
        <v>47425937</v>
      </c>
      <c r="D36" s="1584"/>
      <c r="E36" s="1584">
        <v>570205000</v>
      </c>
      <c r="F36" s="1584">
        <v>99987803</v>
      </c>
      <c r="G36" s="1584">
        <v>155415252</v>
      </c>
      <c r="H36" s="1584">
        <v>52963138</v>
      </c>
      <c r="I36" s="1584">
        <v>47463828</v>
      </c>
      <c r="J36" s="1584">
        <v>166117998</v>
      </c>
      <c r="K36" s="1584">
        <v>63086134</v>
      </c>
      <c r="L36" s="1584">
        <v>1271854488</v>
      </c>
      <c r="M36" s="1584">
        <v>1526987138</v>
      </c>
      <c r="N36" s="1584">
        <v>99799532</v>
      </c>
      <c r="O36" s="1584">
        <v>149437781</v>
      </c>
      <c r="P36" s="1584">
        <v>348451443</v>
      </c>
      <c r="Q36" s="1584">
        <v>697448131</v>
      </c>
      <c r="R36" s="1584">
        <v>234982042</v>
      </c>
      <c r="S36" s="1584">
        <v>205222192</v>
      </c>
      <c r="T36" s="1584"/>
      <c r="U36" s="1584">
        <v>1625578887</v>
      </c>
      <c r="V36" s="1584">
        <v>51521446</v>
      </c>
      <c r="W36" s="1584">
        <v>95257727</v>
      </c>
      <c r="X36" s="1584">
        <v>319192270</v>
      </c>
      <c r="Y36" s="1585">
        <f t="shared" si="0"/>
        <v>8249259340</v>
      </c>
      <c r="Z36" s="1583"/>
      <c r="AA36" s="1583">
        <f t="shared" si="1"/>
        <v>8249259340</v>
      </c>
    </row>
    <row r="37" spans="1:27" ht="16.5">
      <c r="A37" s="143" t="s">
        <v>571</v>
      </c>
      <c r="B37" s="1580"/>
      <c r="C37" s="1269"/>
      <c r="D37" s="1269"/>
      <c r="E37" s="1269"/>
      <c r="F37" s="1269"/>
      <c r="G37" s="1269"/>
      <c r="H37" s="1269"/>
      <c r="I37" s="1269"/>
      <c r="J37" s="1269"/>
      <c r="K37" s="1269"/>
      <c r="L37" s="1269"/>
      <c r="M37" s="1269"/>
      <c r="N37" s="1269"/>
      <c r="O37" s="1269"/>
      <c r="P37" s="1269"/>
      <c r="Q37" s="1269"/>
      <c r="R37" s="1269"/>
      <c r="S37" s="1269"/>
      <c r="T37" s="1269"/>
      <c r="U37" s="1269"/>
      <c r="V37" s="1269"/>
      <c r="W37" s="1269"/>
      <c r="X37" s="1269"/>
      <c r="Y37" s="1275">
        <f aca="true" t="shared" si="4" ref="Y37:Y68">SUM(B37+C37+D37+E37+F37+G37+H37+I37+J37+K37+L37+M37+N37+O37+P37+Q37+R37+S37+T37+U37+V37+W37+X37)</f>
        <v>0</v>
      </c>
      <c r="Z37" s="1270"/>
      <c r="AA37" s="1270">
        <f aca="true" t="shared" si="5" ref="AA37:AA68">Y37+Z37</f>
        <v>0</v>
      </c>
    </row>
    <row r="38" spans="1:27" ht="16.5">
      <c r="A38" s="143" t="s">
        <v>572</v>
      </c>
      <c r="B38" s="1580"/>
      <c r="C38" s="1269"/>
      <c r="D38" s="1269"/>
      <c r="E38" s="1269"/>
      <c r="F38" s="1269"/>
      <c r="G38" s="1269"/>
      <c r="H38" s="1269"/>
      <c r="I38" s="1269"/>
      <c r="J38" s="1269"/>
      <c r="K38" s="1269"/>
      <c r="L38" s="1269"/>
      <c r="M38" s="1269"/>
      <c r="N38" s="1269"/>
      <c r="O38" s="1269"/>
      <c r="P38" s="1269"/>
      <c r="Q38" s="1269"/>
      <c r="R38" s="1269"/>
      <c r="S38" s="1269"/>
      <c r="T38" s="1269"/>
      <c r="U38" s="1269"/>
      <c r="V38" s="1269"/>
      <c r="W38" s="1269"/>
      <c r="X38" s="1269"/>
      <c r="Y38" s="1275">
        <f t="shared" si="4"/>
        <v>0</v>
      </c>
      <c r="Z38" s="1270"/>
      <c r="AA38" s="1270">
        <f t="shared" si="5"/>
        <v>0</v>
      </c>
    </row>
    <row r="39" spans="1:27" ht="16.5">
      <c r="A39" s="115" t="s">
        <v>573</v>
      </c>
      <c r="B39" s="1580">
        <v>23054405</v>
      </c>
      <c r="C39" s="1269">
        <v>994806</v>
      </c>
      <c r="D39" s="1269"/>
      <c r="E39" s="1269">
        <v>92372517</v>
      </c>
      <c r="F39" s="1269">
        <v>3351338</v>
      </c>
      <c r="G39" s="1269">
        <v>11150098</v>
      </c>
      <c r="H39" s="1269">
        <v>6534034</v>
      </c>
      <c r="I39" s="1269">
        <v>3751952</v>
      </c>
      <c r="J39" s="1269">
        <v>10334870</v>
      </c>
      <c r="K39" s="1269">
        <v>3056730</v>
      </c>
      <c r="L39" s="1269">
        <v>58554800</v>
      </c>
      <c r="M39" s="1269">
        <v>74152214</v>
      </c>
      <c r="N39" s="1269">
        <v>5634651</v>
      </c>
      <c r="O39" s="1269">
        <v>6556227</v>
      </c>
      <c r="P39" s="1269">
        <v>38347433</v>
      </c>
      <c r="Q39" s="1269">
        <v>32581186</v>
      </c>
      <c r="R39" s="1269">
        <v>12248559</v>
      </c>
      <c r="S39" s="1269">
        <v>1122376</v>
      </c>
      <c r="T39" s="1269"/>
      <c r="U39" s="1269">
        <v>68279462</v>
      </c>
      <c r="V39" s="1269">
        <v>5360008</v>
      </c>
      <c r="W39" s="1269">
        <v>5585383</v>
      </c>
      <c r="X39" s="1269">
        <v>19315402</v>
      </c>
      <c r="Y39" s="1275">
        <f t="shared" si="4"/>
        <v>482338451</v>
      </c>
      <c r="Z39" s="1270"/>
      <c r="AA39" s="1270">
        <f t="shared" si="5"/>
        <v>482338451</v>
      </c>
    </row>
    <row r="40" spans="1:27" ht="16.5">
      <c r="A40" s="115" t="s">
        <v>574</v>
      </c>
      <c r="B40" s="1580">
        <v>159957458</v>
      </c>
      <c r="C40" s="1269">
        <v>16784170</v>
      </c>
      <c r="D40" s="1269"/>
      <c r="E40" s="1269">
        <v>272284048</v>
      </c>
      <c r="F40" s="1269">
        <v>56671313</v>
      </c>
      <c r="G40" s="1269">
        <v>61032768</v>
      </c>
      <c r="H40" s="1269">
        <v>38525951</v>
      </c>
      <c r="I40" s="1269">
        <v>19655903</v>
      </c>
      <c r="J40" s="1269">
        <v>123035577</v>
      </c>
      <c r="K40" s="1269">
        <v>34716446</v>
      </c>
      <c r="L40" s="1269">
        <v>671886101</v>
      </c>
      <c r="M40" s="1269">
        <v>467503215</v>
      </c>
      <c r="N40" s="1269">
        <v>63655488</v>
      </c>
      <c r="O40" s="1269">
        <v>98252311</v>
      </c>
      <c r="P40" s="1269">
        <v>186430867</v>
      </c>
      <c r="Q40" s="1269">
        <v>460484108</v>
      </c>
      <c r="R40" s="1269">
        <v>158973541</v>
      </c>
      <c r="S40" s="1269">
        <v>143429183</v>
      </c>
      <c r="T40" s="1269"/>
      <c r="U40" s="1269">
        <v>734199373</v>
      </c>
      <c r="V40" s="1269">
        <v>38316088</v>
      </c>
      <c r="W40" s="1269">
        <v>65376005</v>
      </c>
      <c r="X40" s="1269">
        <v>200168991</v>
      </c>
      <c r="Y40" s="1275">
        <f t="shared" si="4"/>
        <v>4071338905</v>
      </c>
      <c r="Z40" s="1270"/>
      <c r="AA40" s="1270">
        <f t="shared" si="5"/>
        <v>4071338905</v>
      </c>
    </row>
    <row r="41" spans="1:27" ht="16.5">
      <c r="A41" s="115" t="s">
        <v>575</v>
      </c>
      <c r="B41" s="1580">
        <v>228249409</v>
      </c>
      <c r="C41" s="1269">
        <v>7772551</v>
      </c>
      <c r="D41" s="1269"/>
      <c r="E41" s="1269">
        <v>192622615</v>
      </c>
      <c r="F41" s="1269">
        <v>8996836</v>
      </c>
      <c r="G41" s="1269">
        <v>81553821</v>
      </c>
      <c r="H41" s="1269">
        <v>3144462</v>
      </c>
      <c r="I41" s="1269">
        <v>7416789</v>
      </c>
      <c r="J41" s="1269">
        <v>16877028</v>
      </c>
      <c r="K41" s="1269">
        <v>5701467</v>
      </c>
      <c r="L41" s="1269">
        <v>541820755</v>
      </c>
      <c r="M41" s="1269">
        <v>970849767</v>
      </c>
      <c r="N41" s="1269">
        <v>25058066</v>
      </c>
      <c r="O41" s="1269">
        <v>39561226</v>
      </c>
      <c r="P41" s="1269">
        <v>133475192</v>
      </c>
      <c r="Q41" s="1269">
        <v>191641577</v>
      </c>
      <c r="R41" s="1269">
        <v>52689198</v>
      </c>
      <c r="S41" s="1269">
        <v>43719552</v>
      </c>
      <c r="T41" s="1269"/>
      <c r="U41" s="1269">
        <v>785653270</v>
      </c>
      <c r="V41" s="1269">
        <v>4333659</v>
      </c>
      <c r="W41" s="1269">
        <v>20212475</v>
      </c>
      <c r="X41" s="1269">
        <v>95022184</v>
      </c>
      <c r="Y41" s="1275">
        <f t="shared" si="4"/>
        <v>3456371899</v>
      </c>
      <c r="Z41" s="1270"/>
      <c r="AA41" s="1270">
        <f t="shared" si="5"/>
        <v>3456371899</v>
      </c>
    </row>
    <row r="42" spans="1:27" ht="16.5">
      <c r="A42" s="115" t="s">
        <v>576</v>
      </c>
      <c r="B42" s="1580"/>
      <c r="C42" s="1269"/>
      <c r="D42" s="1269"/>
      <c r="E42" s="1269"/>
      <c r="F42" s="1269"/>
      <c r="G42" s="1269"/>
      <c r="H42" s="1269"/>
      <c r="I42" s="1269"/>
      <c r="J42" s="1269"/>
      <c r="K42" s="1269"/>
      <c r="L42" s="1269"/>
      <c r="M42" s="1269"/>
      <c r="N42" s="1269"/>
      <c r="O42" s="1269"/>
      <c r="P42" s="1269"/>
      <c r="Q42" s="1269"/>
      <c r="R42" s="1269"/>
      <c r="S42" s="1269"/>
      <c r="T42" s="1269"/>
      <c r="U42" s="1269"/>
      <c r="V42" s="1269"/>
      <c r="W42" s="1269"/>
      <c r="X42" s="1269"/>
      <c r="Y42" s="1275">
        <f t="shared" si="4"/>
        <v>0</v>
      </c>
      <c r="Z42" s="1270"/>
      <c r="AA42" s="1270">
        <f t="shared" si="5"/>
        <v>0</v>
      </c>
    </row>
    <row r="43" spans="1:27" ht="16.5">
      <c r="A43" s="115" t="s">
        <v>577</v>
      </c>
      <c r="B43" s="1580">
        <v>1662941</v>
      </c>
      <c r="C43" s="1269">
        <v>683493</v>
      </c>
      <c r="D43" s="1269"/>
      <c r="E43" s="1269">
        <v>4174678</v>
      </c>
      <c r="F43" s="1269">
        <v>180478</v>
      </c>
      <c r="G43" s="1269">
        <v>10576</v>
      </c>
      <c r="H43" s="1269">
        <v>387320</v>
      </c>
      <c r="I43" s="1269">
        <v>98338</v>
      </c>
      <c r="J43" s="1269">
        <v>4570194</v>
      </c>
      <c r="K43" s="1269">
        <v>159030</v>
      </c>
      <c r="L43" s="1269">
        <v>2990512</v>
      </c>
      <c r="M43" s="1269">
        <v>4630874</v>
      </c>
      <c r="N43" s="1269">
        <v>74790</v>
      </c>
      <c r="O43" s="1269">
        <v>86556</v>
      </c>
      <c r="P43" s="1269">
        <v>891538</v>
      </c>
      <c r="Q43" s="1269">
        <v>4264484</v>
      </c>
      <c r="R43" s="1269">
        <v>582598</v>
      </c>
      <c r="S43" s="1269">
        <v>501103</v>
      </c>
      <c r="T43" s="1269"/>
      <c r="U43" s="1269">
        <v>3644815</v>
      </c>
      <c r="V43" s="1269">
        <v>431534</v>
      </c>
      <c r="W43" s="1269">
        <v>104707</v>
      </c>
      <c r="X43" s="1269">
        <v>4201429</v>
      </c>
      <c r="Y43" s="1275">
        <f t="shared" si="4"/>
        <v>34331988</v>
      </c>
      <c r="Z43" s="1270"/>
      <c r="AA43" s="1270">
        <f t="shared" si="5"/>
        <v>34331988</v>
      </c>
    </row>
    <row r="44" spans="1:27" ht="16.5">
      <c r="A44" s="115" t="s">
        <v>578</v>
      </c>
      <c r="B44" s="1580">
        <v>959821</v>
      </c>
      <c r="C44" s="1269">
        <v>783539</v>
      </c>
      <c r="D44" s="1269"/>
      <c r="E44" s="1269">
        <v>3418367</v>
      </c>
      <c r="F44" s="1269">
        <v>226702</v>
      </c>
      <c r="G44" s="1269">
        <v>360807</v>
      </c>
      <c r="H44" s="1269">
        <v>381473</v>
      </c>
      <c r="I44" s="1269">
        <v>1078554</v>
      </c>
      <c r="J44" s="1269">
        <v>377518</v>
      </c>
      <c r="K44" s="1269">
        <v>717910</v>
      </c>
      <c r="L44" s="1269">
        <v>3301251</v>
      </c>
      <c r="M44" s="1269">
        <v>4777557</v>
      </c>
      <c r="N44" s="1269">
        <v>1339916</v>
      </c>
      <c r="O44" s="1269">
        <v>425534</v>
      </c>
      <c r="P44" s="1269">
        <v>838725</v>
      </c>
      <c r="Q44" s="1269">
        <v>2187050</v>
      </c>
      <c r="R44" s="1269">
        <v>1145174</v>
      </c>
      <c r="S44" s="1269">
        <v>525316</v>
      </c>
      <c r="T44" s="1269"/>
      <c r="U44" s="1269">
        <v>5811847</v>
      </c>
      <c r="V44" s="1269">
        <v>685394</v>
      </c>
      <c r="W44" s="1269">
        <v>233883</v>
      </c>
      <c r="X44" s="1269">
        <v>1949107</v>
      </c>
      <c r="Y44" s="1275">
        <f t="shared" si="4"/>
        <v>31525445</v>
      </c>
      <c r="Z44" s="1270"/>
      <c r="AA44" s="1270">
        <f t="shared" si="5"/>
        <v>31525445</v>
      </c>
    </row>
    <row r="45" spans="1:27" ht="16.5">
      <c r="A45" s="143" t="s">
        <v>579</v>
      </c>
      <c r="B45" s="1580"/>
      <c r="C45" s="1269"/>
      <c r="D45" s="1269"/>
      <c r="E45" s="1269"/>
      <c r="F45" s="1269"/>
      <c r="G45" s="1269"/>
      <c r="H45" s="1269"/>
      <c r="I45" s="1269"/>
      <c r="J45" s="1269"/>
      <c r="K45" s="1269"/>
      <c r="L45" s="1269"/>
      <c r="M45" s="1269"/>
      <c r="N45" s="1269"/>
      <c r="O45" s="1269"/>
      <c r="P45" s="1269"/>
      <c r="Q45" s="1269"/>
      <c r="R45" s="1269"/>
      <c r="S45" s="1269"/>
      <c r="T45" s="1269"/>
      <c r="U45" s="1269"/>
      <c r="V45" s="1269"/>
      <c r="W45" s="1269"/>
      <c r="X45" s="1269"/>
      <c r="Y45" s="1275">
        <f t="shared" si="4"/>
        <v>0</v>
      </c>
      <c r="Z45" s="1270"/>
      <c r="AA45" s="1270">
        <f t="shared" si="5"/>
        <v>0</v>
      </c>
    </row>
    <row r="46" spans="1:27" ht="16.5">
      <c r="A46" s="143" t="s">
        <v>580</v>
      </c>
      <c r="B46" s="1580"/>
      <c r="C46" s="1269"/>
      <c r="D46" s="1269"/>
      <c r="E46" s="1269"/>
      <c r="F46" s="1269"/>
      <c r="G46" s="1269"/>
      <c r="H46" s="1269">
        <v>294139</v>
      </c>
      <c r="I46" s="1269"/>
      <c r="J46" s="1269">
        <v>89627</v>
      </c>
      <c r="K46" s="1269"/>
      <c r="L46" s="1269"/>
      <c r="M46" s="1269"/>
      <c r="N46" s="1269"/>
      <c r="O46" s="1269"/>
      <c r="P46" s="1269"/>
      <c r="Q46" s="1269"/>
      <c r="R46" s="1269"/>
      <c r="S46" s="1269"/>
      <c r="T46" s="1269"/>
      <c r="U46" s="1269"/>
      <c r="V46" s="1269"/>
      <c r="W46" s="1269"/>
      <c r="X46" s="1269"/>
      <c r="Y46" s="1275">
        <f t="shared" si="4"/>
        <v>383766</v>
      </c>
      <c r="Z46" s="1270"/>
      <c r="AA46" s="1270">
        <f t="shared" si="5"/>
        <v>383766</v>
      </c>
    </row>
    <row r="47" spans="1:27" ht="16.5">
      <c r="A47" s="115" t="s">
        <v>581</v>
      </c>
      <c r="B47" s="1580">
        <v>4409316</v>
      </c>
      <c r="C47" s="1269">
        <v>521564</v>
      </c>
      <c r="D47" s="1269"/>
      <c r="E47" s="1269">
        <v>2829156</v>
      </c>
      <c r="F47" s="1269">
        <v>2255904</v>
      </c>
      <c r="G47" s="1269">
        <v>1681610</v>
      </c>
      <c r="H47" s="1269">
        <v>634937</v>
      </c>
      <c r="I47" s="1269">
        <v>904592</v>
      </c>
      <c r="J47" s="1269">
        <v>2550412</v>
      </c>
      <c r="K47" s="1269">
        <v>679491</v>
      </c>
      <c r="L47" s="1269">
        <v>6798682</v>
      </c>
      <c r="M47" s="1269">
        <v>8119160</v>
      </c>
      <c r="N47" s="1269">
        <v>810612</v>
      </c>
      <c r="O47" s="1269">
        <v>1424910</v>
      </c>
      <c r="P47" s="1269">
        <v>3605923</v>
      </c>
      <c r="Q47" s="1269">
        <v>4059852</v>
      </c>
      <c r="R47" s="1269">
        <v>3294090</v>
      </c>
      <c r="S47" s="1269">
        <v>2340325</v>
      </c>
      <c r="T47" s="1269"/>
      <c r="U47" s="1269">
        <v>14232265</v>
      </c>
      <c r="V47" s="1269">
        <v>1152523</v>
      </c>
      <c r="W47" s="1269">
        <v>366691</v>
      </c>
      <c r="X47" s="1269">
        <v>3415153</v>
      </c>
      <c r="Y47" s="1275">
        <f t="shared" si="4"/>
        <v>66087168</v>
      </c>
      <c r="Z47" s="1270"/>
      <c r="AA47" s="1270">
        <f t="shared" si="5"/>
        <v>66087168</v>
      </c>
    </row>
    <row r="48" spans="1:27" ht="16.5">
      <c r="A48" s="115" t="s">
        <v>582</v>
      </c>
      <c r="B48" s="1580">
        <v>13106826</v>
      </c>
      <c r="C48" s="1269">
        <v>1362420</v>
      </c>
      <c r="D48" s="1269"/>
      <c r="E48" s="1269">
        <v>23804018</v>
      </c>
      <c r="F48" s="1269">
        <v>4748245</v>
      </c>
      <c r="G48" s="1269">
        <v>3671807</v>
      </c>
      <c r="H48" s="1269">
        <v>4209341</v>
      </c>
      <c r="I48" s="1269">
        <v>2955815</v>
      </c>
      <c r="J48" s="1269">
        <v>7068307</v>
      </c>
      <c r="K48" s="1269">
        <v>2510668</v>
      </c>
      <c r="L48" s="1269">
        <v>36271688</v>
      </c>
      <c r="M48" s="1269">
        <v>30275412</v>
      </c>
      <c r="N48" s="1269">
        <v>5110309</v>
      </c>
      <c r="O48" s="1269">
        <v>6426186</v>
      </c>
      <c r="P48" s="1269">
        <v>11898511</v>
      </c>
      <c r="Q48" s="1269">
        <v>22505996</v>
      </c>
      <c r="R48" s="1269">
        <v>9448447</v>
      </c>
      <c r="S48" s="1269">
        <v>10869500</v>
      </c>
      <c r="T48" s="1269"/>
      <c r="U48" s="1269">
        <v>43980840</v>
      </c>
      <c r="V48" s="1269">
        <v>3581567</v>
      </c>
      <c r="W48" s="1269">
        <v>4734540</v>
      </c>
      <c r="X48" s="1269">
        <v>10828818</v>
      </c>
      <c r="Y48" s="1275">
        <f t="shared" si="4"/>
        <v>259369261</v>
      </c>
      <c r="Z48" s="1270"/>
      <c r="AA48" s="1270">
        <f t="shared" si="5"/>
        <v>259369261</v>
      </c>
    </row>
    <row r="49" spans="1:27" ht="18">
      <c r="A49" s="143" t="s">
        <v>583</v>
      </c>
      <c r="B49" s="1581">
        <v>17516142</v>
      </c>
      <c r="C49" s="1584">
        <v>1883984</v>
      </c>
      <c r="D49" s="1584"/>
      <c r="E49" s="1584">
        <v>26633174</v>
      </c>
      <c r="F49" s="1584">
        <v>7004149</v>
      </c>
      <c r="G49" s="1584">
        <v>5353417</v>
      </c>
      <c r="H49" s="1584">
        <v>4844278</v>
      </c>
      <c r="I49" s="1584">
        <v>3860407</v>
      </c>
      <c r="J49" s="1584">
        <v>9618718</v>
      </c>
      <c r="K49" s="1584">
        <v>3190159</v>
      </c>
      <c r="L49" s="1584">
        <v>43070370</v>
      </c>
      <c r="M49" s="1584">
        <v>38394572</v>
      </c>
      <c r="N49" s="1584">
        <v>5920921</v>
      </c>
      <c r="O49" s="1584">
        <v>7851096</v>
      </c>
      <c r="P49" s="1584">
        <v>15504434</v>
      </c>
      <c r="Q49" s="1584">
        <v>26565848</v>
      </c>
      <c r="R49" s="1584">
        <v>12742537</v>
      </c>
      <c r="S49" s="1584">
        <v>13209825</v>
      </c>
      <c r="T49" s="1584"/>
      <c r="U49" s="1584">
        <v>58213105</v>
      </c>
      <c r="V49" s="1584">
        <v>4734091</v>
      </c>
      <c r="W49" s="1584">
        <v>5101231</v>
      </c>
      <c r="X49" s="1584">
        <v>14342971</v>
      </c>
      <c r="Y49" s="1275">
        <f t="shared" si="4"/>
        <v>325555429</v>
      </c>
      <c r="Z49" s="1583"/>
      <c r="AA49" s="1270">
        <f t="shared" si="5"/>
        <v>325555429</v>
      </c>
    </row>
    <row r="50" spans="1:27" ht="16.5">
      <c r="A50" s="115" t="s">
        <v>584</v>
      </c>
      <c r="B50" s="1580">
        <v>9830502</v>
      </c>
      <c r="C50" s="1269">
        <v>1375506</v>
      </c>
      <c r="D50" s="1269"/>
      <c r="E50" s="1269">
        <v>17251737</v>
      </c>
      <c r="F50" s="1269">
        <v>3314942</v>
      </c>
      <c r="G50" s="1269">
        <v>3924787</v>
      </c>
      <c r="H50" s="1269">
        <v>2558006</v>
      </c>
      <c r="I50" s="1269">
        <v>2312629</v>
      </c>
      <c r="J50" s="1269">
        <v>5227202</v>
      </c>
      <c r="K50" s="1269">
        <v>2594274</v>
      </c>
      <c r="L50" s="1269">
        <v>49019138</v>
      </c>
      <c r="M50" s="1269">
        <v>33045792</v>
      </c>
      <c r="N50" s="1269">
        <v>1811794</v>
      </c>
      <c r="O50" s="1269">
        <v>5255898</v>
      </c>
      <c r="P50" s="1269">
        <v>14882085</v>
      </c>
      <c r="Q50" s="1269">
        <v>19638740</v>
      </c>
      <c r="R50" s="1269">
        <v>10074565</v>
      </c>
      <c r="S50" s="1269">
        <v>8801199</v>
      </c>
      <c r="T50" s="1269"/>
      <c r="U50" s="1269">
        <v>27837859</v>
      </c>
      <c r="V50" s="1269">
        <v>2103617</v>
      </c>
      <c r="W50" s="1269">
        <v>1321593</v>
      </c>
      <c r="X50" s="1269">
        <v>15371576</v>
      </c>
      <c r="Y50" s="1275">
        <f t="shared" si="4"/>
        <v>237553441</v>
      </c>
      <c r="Z50" s="1270"/>
      <c r="AA50" s="1270">
        <f t="shared" si="5"/>
        <v>237553441</v>
      </c>
    </row>
    <row r="51" spans="1:27" ht="16.5">
      <c r="A51" s="115" t="s">
        <v>585</v>
      </c>
      <c r="B51" s="1580">
        <v>708501</v>
      </c>
      <c r="C51" s="1269">
        <v>39273</v>
      </c>
      <c r="D51" s="1269"/>
      <c r="E51" s="1269">
        <v>4048662</v>
      </c>
      <c r="F51" s="1269">
        <v>203589</v>
      </c>
      <c r="G51" s="1269">
        <v>121448</v>
      </c>
      <c r="H51" s="1269">
        <v>1563540</v>
      </c>
      <c r="I51" s="1269">
        <v>18466</v>
      </c>
      <c r="J51" s="1269">
        <v>534255</v>
      </c>
      <c r="K51" s="1269">
        <v>49821</v>
      </c>
      <c r="L51" s="1269">
        <v>750163</v>
      </c>
      <c r="M51" s="1269">
        <v>275269</v>
      </c>
      <c r="N51" s="1269">
        <v>72506</v>
      </c>
      <c r="O51" s="1269">
        <v>32118</v>
      </c>
      <c r="P51" s="1269">
        <v>2154661</v>
      </c>
      <c r="Q51" s="1269">
        <v>637382</v>
      </c>
      <c r="R51" s="1269">
        <v>342637</v>
      </c>
      <c r="S51" s="1269">
        <v>557445</v>
      </c>
      <c r="T51" s="1269"/>
      <c r="U51" s="1269">
        <v>2385126</v>
      </c>
      <c r="V51" s="1269">
        <v>235710</v>
      </c>
      <c r="W51" s="1269">
        <v>34364</v>
      </c>
      <c r="X51" s="1269">
        <v>436238</v>
      </c>
      <c r="Y51" s="1275">
        <f t="shared" si="4"/>
        <v>15201174</v>
      </c>
      <c r="Z51" s="1270"/>
      <c r="AA51" s="1270">
        <f t="shared" si="5"/>
        <v>15201174</v>
      </c>
    </row>
    <row r="52" spans="1:27" ht="18">
      <c r="A52" s="143" t="s">
        <v>586</v>
      </c>
      <c r="B52" s="1581">
        <f>B50+B51</f>
        <v>10539003</v>
      </c>
      <c r="C52" s="1582">
        <f aca="true" t="shared" si="6" ref="C52:X52">C50+C51</f>
        <v>1414779</v>
      </c>
      <c r="D52" s="1582">
        <f t="shared" si="6"/>
        <v>0</v>
      </c>
      <c r="E52" s="1582">
        <f t="shared" si="6"/>
        <v>21300399</v>
      </c>
      <c r="F52" s="1582">
        <f t="shared" si="6"/>
        <v>3518531</v>
      </c>
      <c r="G52" s="1582">
        <f t="shared" si="6"/>
        <v>4046235</v>
      </c>
      <c r="H52" s="1582">
        <f t="shared" si="6"/>
        <v>4121546</v>
      </c>
      <c r="I52" s="1582">
        <f t="shared" si="6"/>
        <v>2331095</v>
      </c>
      <c r="J52" s="1582">
        <f t="shared" si="6"/>
        <v>5761457</v>
      </c>
      <c r="K52" s="1582">
        <f t="shared" si="6"/>
        <v>2644095</v>
      </c>
      <c r="L52" s="1582">
        <f t="shared" si="6"/>
        <v>49769301</v>
      </c>
      <c r="M52" s="1582">
        <f t="shared" si="6"/>
        <v>33321061</v>
      </c>
      <c r="N52" s="1582">
        <f t="shared" si="6"/>
        <v>1884300</v>
      </c>
      <c r="O52" s="1582">
        <f t="shared" si="6"/>
        <v>5288016</v>
      </c>
      <c r="P52" s="1582">
        <f t="shared" si="6"/>
        <v>17036746</v>
      </c>
      <c r="Q52" s="1582">
        <f t="shared" si="6"/>
        <v>20276122</v>
      </c>
      <c r="R52" s="1582">
        <f t="shared" si="6"/>
        <v>10417202</v>
      </c>
      <c r="S52" s="1582">
        <f t="shared" si="6"/>
        <v>9358644</v>
      </c>
      <c r="T52" s="1582">
        <f t="shared" si="6"/>
        <v>0</v>
      </c>
      <c r="U52" s="1582">
        <f t="shared" si="6"/>
        <v>30222985</v>
      </c>
      <c r="V52" s="1582">
        <f t="shared" si="6"/>
        <v>2339327</v>
      </c>
      <c r="W52" s="1582">
        <f t="shared" si="6"/>
        <v>1355957</v>
      </c>
      <c r="X52" s="1582">
        <f t="shared" si="6"/>
        <v>15807814</v>
      </c>
      <c r="Y52" s="1275">
        <f t="shared" si="4"/>
        <v>252754615</v>
      </c>
      <c r="Z52" s="1583"/>
      <c r="AA52" s="1270">
        <f t="shared" si="5"/>
        <v>252754615</v>
      </c>
    </row>
    <row r="53" spans="1:27" ht="18">
      <c r="A53" s="1283" t="s">
        <v>587</v>
      </c>
      <c r="B53" s="1581">
        <f>B49-B52</f>
        <v>6977139</v>
      </c>
      <c r="C53" s="1582">
        <f aca="true" t="shared" si="7" ref="C53:X53">C49-C52</f>
        <v>469205</v>
      </c>
      <c r="D53" s="1582">
        <f t="shared" si="7"/>
        <v>0</v>
      </c>
      <c r="E53" s="1582">
        <f t="shared" si="7"/>
        <v>5332775</v>
      </c>
      <c r="F53" s="1582">
        <f t="shared" si="7"/>
        <v>3485618</v>
      </c>
      <c r="G53" s="1582">
        <f t="shared" si="7"/>
        <v>1307182</v>
      </c>
      <c r="H53" s="1582">
        <f t="shared" si="7"/>
        <v>722732</v>
      </c>
      <c r="I53" s="1582">
        <f t="shared" si="7"/>
        <v>1529312</v>
      </c>
      <c r="J53" s="1582">
        <f t="shared" si="7"/>
        <v>3857261</v>
      </c>
      <c r="K53" s="1582">
        <f t="shared" si="7"/>
        <v>546064</v>
      </c>
      <c r="L53" s="1582">
        <f t="shared" si="7"/>
        <v>-6698931</v>
      </c>
      <c r="M53" s="1582">
        <f t="shared" si="7"/>
        <v>5073511</v>
      </c>
      <c r="N53" s="1582">
        <f t="shared" si="7"/>
        <v>4036621</v>
      </c>
      <c r="O53" s="1582">
        <f t="shared" si="7"/>
        <v>2563080</v>
      </c>
      <c r="P53" s="1582">
        <f t="shared" si="7"/>
        <v>-1532312</v>
      </c>
      <c r="Q53" s="1582">
        <f t="shared" si="7"/>
        <v>6289726</v>
      </c>
      <c r="R53" s="1582">
        <f t="shared" si="7"/>
        <v>2325335</v>
      </c>
      <c r="S53" s="1582">
        <f t="shared" si="7"/>
        <v>3851181</v>
      </c>
      <c r="T53" s="1582">
        <f t="shared" si="7"/>
        <v>0</v>
      </c>
      <c r="U53" s="1582">
        <f t="shared" si="7"/>
        <v>27990120</v>
      </c>
      <c r="V53" s="1582">
        <v>2394763</v>
      </c>
      <c r="W53" s="1582">
        <f t="shared" si="7"/>
        <v>3745274</v>
      </c>
      <c r="X53" s="1582">
        <f t="shared" si="7"/>
        <v>-1464843</v>
      </c>
      <c r="Y53" s="1275">
        <f t="shared" si="4"/>
        <v>72800813</v>
      </c>
      <c r="Z53" s="1583"/>
      <c r="AA53" s="1270">
        <f t="shared" si="5"/>
        <v>72800813</v>
      </c>
    </row>
    <row r="54" spans="1:27" ht="16.5">
      <c r="A54" s="115" t="s">
        <v>588</v>
      </c>
      <c r="B54" s="1580"/>
      <c r="C54" s="1269"/>
      <c r="D54" s="1269"/>
      <c r="E54" s="1269"/>
      <c r="F54" s="1269"/>
      <c r="G54" s="1269"/>
      <c r="H54" s="1269"/>
      <c r="I54" s="1269"/>
      <c r="J54" s="1269"/>
      <c r="K54" s="1269"/>
      <c r="L54" s="1269"/>
      <c r="M54" s="1269"/>
      <c r="N54" s="1269"/>
      <c r="O54" s="1269"/>
      <c r="P54" s="1269"/>
      <c r="Q54" s="1269"/>
      <c r="R54" s="1269"/>
      <c r="S54" s="1269"/>
      <c r="T54" s="1269"/>
      <c r="U54" s="1269"/>
      <c r="V54" s="1269"/>
      <c r="W54" s="1269"/>
      <c r="X54" s="1269"/>
      <c r="Y54" s="1275">
        <f t="shared" si="4"/>
        <v>0</v>
      </c>
      <c r="Z54" s="1270"/>
      <c r="AA54" s="1270">
        <f t="shared" si="5"/>
        <v>0</v>
      </c>
    </row>
    <row r="55" spans="1:27" ht="16.5">
      <c r="A55" s="115" t="s">
        <v>589</v>
      </c>
      <c r="B55" s="1580"/>
      <c r="C55" s="1269"/>
      <c r="D55" s="1269"/>
      <c r="E55" s="1269"/>
      <c r="F55" s="1269"/>
      <c r="G55" s="1269"/>
      <c r="H55" s="1269"/>
      <c r="I55" s="1269"/>
      <c r="J55" s="1269"/>
      <c r="K55" s="1269"/>
      <c r="L55" s="1269"/>
      <c r="M55" s="1269"/>
      <c r="N55" s="1269"/>
      <c r="O55" s="1269"/>
      <c r="P55" s="1269"/>
      <c r="Q55" s="1269"/>
      <c r="R55" s="1269"/>
      <c r="S55" s="1269"/>
      <c r="T55" s="1269"/>
      <c r="U55" s="1269"/>
      <c r="V55" s="1269"/>
      <c r="W55" s="1269"/>
      <c r="X55" s="1269"/>
      <c r="Y55" s="1275">
        <f t="shared" si="4"/>
        <v>0</v>
      </c>
      <c r="Z55" s="1270"/>
      <c r="AA55" s="1270">
        <f t="shared" si="5"/>
        <v>0</v>
      </c>
    </row>
    <row r="56" spans="1:27" ht="16.5">
      <c r="A56" s="115" t="s">
        <v>590</v>
      </c>
      <c r="B56" s="1580"/>
      <c r="C56" s="1269">
        <v>6155209</v>
      </c>
      <c r="D56" s="1269"/>
      <c r="E56" s="1269"/>
      <c r="F56" s="1269">
        <v>27075518</v>
      </c>
      <c r="G56" s="1269"/>
      <c r="H56" s="1269">
        <v>2973027</v>
      </c>
      <c r="I56" s="1269">
        <v>13932979</v>
      </c>
      <c r="J56" s="1269">
        <v>6975923</v>
      </c>
      <c r="K56" s="1269">
        <v>18188487</v>
      </c>
      <c r="L56" s="1269"/>
      <c r="M56" s="1269"/>
      <c r="N56" s="1269"/>
      <c r="O56" s="1269">
        <v>1992844</v>
      </c>
      <c r="P56" s="1269"/>
      <c r="Q56" s="1269"/>
      <c r="R56" s="1269">
        <v>7017637</v>
      </c>
      <c r="S56" s="1269">
        <v>1973481</v>
      </c>
      <c r="T56" s="1269"/>
      <c r="U56" s="1269"/>
      <c r="V56" s="1269"/>
      <c r="W56" s="1269"/>
      <c r="X56" s="1269"/>
      <c r="Y56" s="1275">
        <f t="shared" si="4"/>
        <v>86285105</v>
      </c>
      <c r="Z56" s="1270"/>
      <c r="AA56" s="1270">
        <f t="shared" si="5"/>
        <v>86285105</v>
      </c>
    </row>
    <row r="57" spans="1:27" ht="16.5">
      <c r="A57" s="115" t="s">
        <v>591</v>
      </c>
      <c r="B57" s="1580"/>
      <c r="C57" s="1269">
        <v>13782964</v>
      </c>
      <c r="D57" s="1269"/>
      <c r="E57" s="1269"/>
      <c r="F57" s="1269"/>
      <c r="G57" s="1269"/>
      <c r="H57" s="1269"/>
      <c r="I57" s="1269"/>
      <c r="J57" s="1269"/>
      <c r="K57" s="1269"/>
      <c r="L57" s="1269"/>
      <c r="M57" s="1269"/>
      <c r="N57" s="1269"/>
      <c r="O57" s="1269"/>
      <c r="P57" s="1269"/>
      <c r="Q57" s="1269"/>
      <c r="R57" s="1269"/>
      <c r="S57" s="1269"/>
      <c r="T57" s="1269"/>
      <c r="U57" s="1269"/>
      <c r="V57" s="1269"/>
      <c r="W57" s="1269"/>
      <c r="X57" s="1269"/>
      <c r="Y57" s="1275">
        <f t="shared" si="4"/>
        <v>13782964</v>
      </c>
      <c r="Z57" s="1270"/>
      <c r="AA57" s="1270">
        <f t="shared" si="5"/>
        <v>13782964</v>
      </c>
    </row>
    <row r="58" spans="1:27" ht="18">
      <c r="A58" s="143" t="s">
        <v>570</v>
      </c>
      <c r="B58" s="1581">
        <v>420861173</v>
      </c>
      <c r="C58" s="1584">
        <v>47425937</v>
      </c>
      <c r="D58" s="1584"/>
      <c r="E58" s="1584">
        <v>570205000</v>
      </c>
      <c r="F58" s="1584">
        <v>99987803</v>
      </c>
      <c r="G58" s="1584">
        <v>155415252</v>
      </c>
      <c r="H58" s="1584">
        <v>52963138</v>
      </c>
      <c r="I58" s="1584">
        <v>47463828</v>
      </c>
      <c r="J58" s="1584">
        <v>166117998</v>
      </c>
      <c r="K58" s="1584">
        <v>63086134</v>
      </c>
      <c r="L58" s="1584">
        <v>1271854488</v>
      </c>
      <c r="M58" s="1584">
        <v>1526987138</v>
      </c>
      <c r="N58" s="1584">
        <v>99799532</v>
      </c>
      <c r="O58" s="1584">
        <v>149437781</v>
      </c>
      <c r="P58" s="1584">
        <v>348451443</v>
      </c>
      <c r="Q58" s="1584">
        <v>697448131</v>
      </c>
      <c r="R58" s="1584">
        <v>234982042</v>
      </c>
      <c r="S58" s="1584">
        <v>205222192</v>
      </c>
      <c r="T58" s="1584"/>
      <c r="U58" s="1584">
        <v>1625578887</v>
      </c>
      <c r="V58" s="1584">
        <v>51521446</v>
      </c>
      <c r="W58" s="1584">
        <v>95257727</v>
      </c>
      <c r="X58" s="1584">
        <v>319192270</v>
      </c>
      <c r="Y58" s="1275">
        <f t="shared" si="4"/>
        <v>8249259340</v>
      </c>
      <c r="Z58" s="1583"/>
      <c r="AA58" s="1270">
        <f t="shared" si="5"/>
        <v>8249259340</v>
      </c>
    </row>
    <row r="59" spans="1:27" ht="16.5">
      <c r="A59" s="143" t="s">
        <v>592</v>
      </c>
      <c r="B59" s="1270"/>
      <c r="C59" s="1269"/>
      <c r="D59" s="1269"/>
      <c r="E59" s="1269"/>
      <c r="F59" s="1269"/>
      <c r="G59" s="1269"/>
      <c r="H59" s="1269"/>
      <c r="I59" s="1269"/>
      <c r="J59" s="1269"/>
      <c r="K59" s="1269"/>
      <c r="L59" s="1269"/>
      <c r="M59" s="1269"/>
      <c r="N59" s="1269"/>
      <c r="O59" s="1269"/>
      <c r="P59" s="1269"/>
      <c r="Q59" s="1269"/>
      <c r="R59" s="1269"/>
      <c r="S59" s="1269"/>
      <c r="T59" s="1269"/>
      <c r="U59" s="1269"/>
      <c r="V59" s="1269"/>
      <c r="W59" s="1269"/>
      <c r="X59" s="1269"/>
      <c r="Y59" s="1275">
        <f t="shared" si="4"/>
        <v>0</v>
      </c>
      <c r="Z59" s="1270"/>
      <c r="AA59" s="1270">
        <f t="shared" si="5"/>
        <v>0</v>
      </c>
    </row>
    <row r="60" spans="1:27" ht="16.5">
      <c r="A60" s="143" t="s">
        <v>0</v>
      </c>
      <c r="B60" s="1270"/>
      <c r="C60" s="1269"/>
      <c r="D60" s="1269"/>
      <c r="E60" s="1269"/>
      <c r="F60" s="1269"/>
      <c r="G60" s="1269"/>
      <c r="H60" s="1269"/>
      <c r="I60" s="1269"/>
      <c r="J60" s="1269"/>
      <c r="K60" s="1269"/>
      <c r="L60" s="1269"/>
      <c r="M60" s="1269"/>
      <c r="N60" s="1269"/>
      <c r="O60" s="1269"/>
      <c r="P60" s="1269"/>
      <c r="Q60" s="1269"/>
      <c r="R60" s="1269"/>
      <c r="S60" s="1269"/>
      <c r="T60" s="1269"/>
      <c r="U60" s="1269"/>
      <c r="V60" s="1269"/>
      <c r="W60" s="1269"/>
      <c r="X60" s="1269"/>
      <c r="Y60" s="1275">
        <f t="shared" si="4"/>
        <v>0</v>
      </c>
      <c r="Z60" s="1270"/>
      <c r="AA60" s="1270">
        <f t="shared" si="5"/>
        <v>0</v>
      </c>
    </row>
    <row r="61" spans="1:27" ht="16.5">
      <c r="A61" s="115" t="s">
        <v>593</v>
      </c>
      <c r="B61" s="1270">
        <v>6686653</v>
      </c>
      <c r="C61" s="1269"/>
      <c r="D61" s="1269"/>
      <c r="E61" s="1269"/>
      <c r="F61" s="1269"/>
      <c r="G61" s="1269"/>
      <c r="H61" s="1269">
        <v>949</v>
      </c>
      <c r="I61" s="1269"/>
      <c r="J61" s="1269">
        <v>400000</v>
      </c>
      <c r="K61" s="1269"/>
      <c r="L61" s="1269">
        <v>20573536</v>
      </c>
      <c r="M61" s="1269">
        <v>4500000</v>
      </c>
      <c r="N61" s="1269"/>
      <c r="O61" s="1269"/>
      <c r="P61" s="1269">
        <v>3117923</v>
      </c>
      <c r="Q61" s="1269"/>
      <c r="R61" s="1269">
        <v>4550000</v>
      </c>
      <c r="S61" s="1269">
        <v>310248</v>
      </c>
      <c r="T61" s="1269"/>
      <c r="U61" s="1269">
        <v>8600000</v>
      </c>
      <c r="V61" s="1269"/>
      <c r="W61" s="1269"/>
      <c r="X61" s="1269"/>
      <c r="Y61" s="1275">
        <f t="shared" si="4"/>
        <v>48739309</v>
      </c>
      <c r="Z61" s="1270"/>
      <c r="AA61" s="1270">
        <f t="shared" si="5"/>
        <v>48739309</v>
      </c>
    </row>
    <row r="62" spans="1:27" ht="16.5">
      <c r="A62" s="115" t="s">
        <v>594</v>
      </c>
      <c r="B62" s="1270">
        <v>21967</v>
      </c>
      <c r="C62" s="1269"/>
      <c r="D62" s="1269"/>
      <c r="E62" s="1269"/>
      <c r="F62" s="1269"/>
      <c r="G62" s="1269"/>
      <c r="H62" s="1269">
        <v>4010</v>
      </c>
      <c r="I62" s="1269"/>
      <c r="J62" s="1269"/>
      <c r="K62" s="1269"/>
      <c r="L62" s="1269">
        <v>4123</v>
      </c>
      <c r="M62" s="1269">
        <f>1176+41354+9023</f>
        <v>51553</v>
      </c>
      <c r="N62" s="1269"/>
      <c r="O62" s="1269"/>
      <c r="P62" s="1269">
        <v>4113</v>
      </c>
      <c r="Q62" s="1269"/>
      <c r="R62" s="1269">
        <v>67693</v>
      </c>
      <c r="S62" s="1269">
        <v>9906</v>
      </c>
      <c r="T62" s="1269"/>
      <c r="U62" s="1269">
        <v>6911</v>
      </c>
      <c r="V62" s="1269"/>
      <c r="W62" s="1269">
        <v>7400</v>
      </c>
      <c r="X62" s="1269">
        <v>14450</v>
      </c>
      <c r="Y62" s="1275">
        <f t="shared" si="4"/>
        <v>192126</v>
      </c>
      <c r="Z62" s="1270"/>
      <c r="AA62" s="1270">
        <f t="shared" si="5"/>
        <v>192126</v>
      </c>
    </row>
    <row r="63" spans="1:27" ht="16.5">
      <c r="A63" s="115" t="s">
        <v>595</v>
      </c>
      <c r="B63" s="1270"/>
      <c r="C63" s="1269"/>
      <c r="D63" s="1269"/>
      <c r="E63" s="1269"/>
      <c r="F63" s="1269"/>
      <c r="G63" s="1269"/>
      <c r="H63" s="1269"/>
      <c r="I63" s="1269"/>
      <c r="J63" s="1269"/>
      <c r="K63" s="1269">
        <v>12492</v>
      </c>
      <c r="L63" s="1269"/>
      <c r="M63" s="1269"/>
      <c r="N63" s="1269"/>
      <c r="O63" s="1269"/>
      <c r="P63" s="1269"/>
      <c r="Q63" s="1269"/>
      <c r="R63" s="1269"/>
      <c r="S63" s="1269"/>
      <c r="T63" s="1269"/>
      <c r="U63" s="1269"/>
      <c r="V63" s="1269"/>
      <c r="W63" s="1269"/>
      <c r="X63" s="1269"/>
      <c r="Y63" s="1275">
        <f t="shared" si="4"/>
        <v>12492</v>
      </c>
      <c r="Z63" s="1270"/>
      <c r="AA63" s="1270">
        <f t="shared" si="5"/>
        <v>12492</v>
      </c>
    </row>
    <row r="64" spans="1:27" ht="16.5">
      <c r="A64" s="115" t="s">
        <v>596</v>
      </c>
      <c r="B64" s="1270">
        <v>2500</v>
      </c>
      <c r="C64" s="1269">
        <v>2500</v>
      </c>
      <c r="D64" s="1269"/>
      <c r="E64" s="1269"/>
      <c r="F64" s="1269"/>
      <c r="G64" s="1269">
        <v>2550</v>
      </c>
      <c r="H64" s="1269"/>
      <c r="I64" s="1269"/>
      <c r="J64" s="1269"/>
      <c r="K64" s="1269"/>
      <c r="L64" s="1269">
        <v>3522</v>
      </c>
      <c r="M64" s="1269"/>
      <c r="N64" s="1269"/>
      <c r="O64" s="1269"/>
      <c r="P64" s="1269">
        <v>4504</v>
      </c>
      <c r="Q64" s="1269"/>
      <c r="R64" s="1269">
        <v>2500</v>
      </c>
      <c r="S64" s="1269">
        <v>1102</v>
      </c>
      <c r="T64" s="1269"/>
      <c r="U64" s="1269"/>
      <c r="V64" s="1269"/>
      <c r="W64" s="1269"/>
      <c r="X64" s="1269"/>
      <c r="Y64" s="1275">
        <f t="shared" si="4"/>
        <v>19178</v>
      </c>
      <c r="Z64" s="1270"/>
      <c r="AA64" s="1270">
        <f t="shared" si="5"/>
        <v>19178</v>
      </c>
    </row>
    <row r="65" spans="1:27" ht="16.5">
      <c r="A65" s="115" t="s">
        <v>597</v>
      </c>
      <c r="B65" s="1270"/>
      <c r="C65" s="1269">
        <v>82052</v>
      </c>
      <c r="D65" s="1269"/>
      <c r="E65" s="1269"/>
      <c r="F65" s="1269"/>
      <c r="G65" s="1269">
        <v>1434919</v>
      </c>
      <c r="H65" s="1269">
        <v>132678</v>
      </c>
      <c r="I65" s="1269">
        <v>35407</v>
      </c>
      <c r="J65" s="1269">
        <v>2535645</v>
      </c>
      <c r="K65" s="1269">
        <v>42355</v>
      </c>
      <c r="L65" s="1269">
        <v>909593</v>
      </c>
      <c r="M65" s="1269">
        <v>1536996</v>
      </c>
      <c r="N65" s="1269">
        <v>510602</v>
      </c>
      <c r="O65" s="1269">
        <v>280802</v>
      </c>
      <c r="P65" s="1269">
        <v>2121524</v>
      </c>
      <c r="Q65" s="1269"/>
      <c r="R65" s="1269">
        <v>150627</v>
      </c>
      <c r="S65" s="1269">
        <v>1611323</v>
      </c>
      <c r="T65" s="1269"/>
      <c r="U65" s="1269"/>
      <c r="V65" s="1269"/>
      <c r="W65" s="1269">
        <v>635644</v>
      </c>
      <c r="X65" s="1269">
        <v>8560</v>
      </c>
      <c r="Y65" s="1275">
        <f t="shared" si="4"/>
        <v>12028727</v>
      </c>
      <c r="Z65" s="1270"/>
      <c r="AA65" s="1270">
        <f t="shared" si="5"/>
        <v>12028727</v>
      </c>
    </row>
    <row r="66" spans="1:27" ht="16.5">
      <c r="A66" s="115" t="s">
        <v>598</v>
      </c>
      <c r="B66" s="1270"/>
      <c r="C66" s="1269"/>
      <c r="D66" s="1269"/>
      <c r="E66" s="1269"/>
      <c r="F66" s="1269"/>
      <c r="G66" s="1269"/>
      <c r="H66" s="1269"/>
      <c r="I66" s="1269"/>
      <c r="J66" s="1269"/>
      <c r="K66" s="1269"/>
      <c r="L66" s="1269"/>
      <c r="M66" s="1269"/>
      <c r="N66" s="1269"/>
      <c r="O66" s="1269"/>
      <c r="P66" s="1269"/>
      <c r="Q66" s="1269"/>
      <c r="R66" s="1269"/>
      <c r="S66" s="1269"/>
      <c r="T66" s="1269"/>
      <c r="U66" s="1269"/>
      <c r="V66" s="1269"/>
      <c r="W66" s="1269"/>
      <c r="X66" s="1269"/>
      <c r="Y66" s="1275">
        <f t="shared" si="4"/>
        <v>0</v>
      </c>
      <c r="Z66" s="1270"/>
      <c r="AA66" s="1270">
        <f t="shared" si="5"/>
        <v>0</v>
      </c>
    </row>
    <row r="67" spans="1:27" ht="16.5">
      <c r="A67" s="115" t="s">
        <v>599</v>
      </c>
      <c r="B67" s="1270"/>
      <c r="C67" s="1269">
        <v>68316</v>
      </c>
      <c r="D67" s="1269"/>
      <c r="E67" s="1269"/>
      <c r="F67" s="1269"/>
      <c r="G67" s="1269">
        <v>229812</v>
      </c>
      <c r="H67" s="1269"/>
      <c r="I67" s="1269"/>
      <c r="J67" s="1269"/>
      <c r="K67" s="1269">
        <v>74722</v>
      </c>
      <c r="L67" s="1269"/>
      <c r="M67" s="1269">
        <f>70921+547788</f>
        <v>618709</v>
      </c>
      <c r="N67" s="1269"/>
      <c r="O67" s="1269">
        <v>350313</v>
      </c>
      <c r="P67" s="1269"/>
      <c r="Q67" s="1269"/>
      <c r="R67" s="1269"/>
      <c r="S67" s="1269"/>
      <c r="T67" s="1269"/>
      <c r="U67" s="1269"/>
      <c r="V67" s="1269"/>
      <c r="W67" s="1269"/>
      <c r="X67" s="1269"/>
      <c r="Y67" s="1275">
        <f t="shared" si="4"/>
        <v>1341872</v>
      </c>
      <c r="Z67" s="1270"/>
      <c r="AA67" s="1270">
        <f t="shared" si="5"/>
        <v>1341872</v>
      </c>
    </row>
    <row r="68" spans="1:27" ht="16.5">
      <c r="A68" s="115" t="s">
        <v>74</v>
      </c>
      <c r="B68" s="1270">
        <v>440721</v>
      </c>
      <c r="C68" s="1269">
        <v>1928</v>
      </c>
      <c r="D68" s="1269"/>
      <c r="E68" s="1269">
        <f>490377+54110</f>
        <v>544487</v>
      </c>
      <c r="F68" s="1269"/>
      <c r="G68" s="1269"/>
      <c r="H68" s="1269">
        <f>8115+141511</f>
        <v>149626</v>
      </c>
      <c r="I68" s="1269">
        <v>3832</v>
      </c>
      <c r="J68" s="1269">
        <f>283852+660445</f>
        <v>944297</v>
      </c>
      <c r="K68" s="1269">
        <v>911111</v>
      </c>
      <c r="L68" s="1269">
        <v>396861</v>
      </c>
      <c r="M68" s="1269"/>
      <c r="N68" s="1269">
        <v>146820</v>
      </c>
      <c r="O68" s="1269"/>
      <c r="P68" s="1269">
        <v>126199</v>
      </c>
      <c r="Q68" s="1269"/>
      <c r="R68" s="1269">
        <v>402848</v>
      </c>
      <c r="S68" s="1269">
        <v>335217</v>
      </c>
      <c r="T68" s="1269"/>
      <c r="U68" s="1269">
        <f>1182566+3778849</f>
        <v>4961415</v>
      </c>
      <c r="V68" s="1269">
        <v>63961</v>
      </c>
      <c r="W68" s="1269">
        <f>62527+19344</f>
        <v>81871</v>
      </c>
      <c r="X68" s="1269">
        <f>1554+26797+112854</f>
        <v>141205</v>
      </c>
      <c r="Y68" s="1275">
        <f t="shared" si="4"/>
        <v>9652399</v>
      </c>
      <c r="Z68" s="1270"/>
      <c r="AA68" s="1270">
        <f t="shared" si="5"/>
        <v>9652399</v>
      </c>
    </row>
    <row r="69" spans="1:27" ht="18.75" thickBot="1">
      <c r="A69" s="1571" t="s">
        <v>54</v>
      </c>
      <c r="B69" s="1586"/>
      <c r="C69" s="1587">
        <v>154796</v>
      </c>
      <c r="D69" s="1587"/>
      <c r="E69" s="1587">
        <v>544487</v>
      </c>
      <c r="F69" s="1587"/>
      <c r="G69" s="1587">
        <v>1667281</v>
      </c>
      <c r="H69" s="1587">
        <v>287263</v>
      </c>
      <c r="I69" s="1587">
        <f>SUM(I65:I68)</f>
        <v>39239</v>
      </c>
      <c r="J69" s="1587">
        <v>3879942</v>
      </c>
      <c r="K69" s="1587">
        <v>1040680</v>
      </c>
      <c r="L69" s="1587">
        <v>21884835</v>
      </c>
      <c r="M69" s="1587">
        <v>6707258</v>
      </c>
      <c r="N69" s="1587">
        <v>657422</v>
      </c>
      <c r="O69" s="1587"/>
      <c r="P69" s="1587">
        <v>5374263</v>
      </c>
      <c r="Q69" s="1587"/>
      <c r="R69" s="1587">
        <v>5173668</v>
      </c>
      <c r="S69" s="1587">
        <v>2267796</v>
      </c>
      <c r="T69" s="1587"/>
      <c r="U69" s="1587">
        <v>13568325</v>
      </c>
      <c r="V69" s="1587">
        <v>63961</v>
      </c>
      <c r="W69" s="1587"/>
      <c r="X69" s="1587">
        <v>164215</v>
      </c>
      <c r="Y69" s="1588">
        <f>SUM(B69+C69+D69+E69+F69+G69+H69+I69+J69+K69+L69+M69+N69+O69+P69+Q69+R69+S69+T69+U69+V69+W69+X69)</f>
        <v>63475431</v>
      </c>
      <c r="Z69" s="1586"/>
      <c r="AA69" s="1271">
        <f>Y69+Z69</f>
        <v>63475431</v>
      </c>
    </row>
    <row r="70" spans="2:27" ht="15">
      <c r="B70" s="1589"/>
      <c r="C70" s="1589"/>
      <c r="D70" s="1589"/>
      <c r="E70" s="1589"/>
      <c r="F70" s="1589"/>
      <c r="G70" s="1589"/>
      <c r="H70" s="1589"/>
      <c r="I70" s="1589"/>
      <c r="J70" s="1589"/>
      <c r="K70" s="1589"/>
      <c r="L70" s="1589"/>
      <c r="M70" s="1589"/>
      <c r="N70" s="1589"/>
      <c r="O70" s="1589"/>
      <c r="P70" s="1589"/>
      <c r="Q70" s="1589"/>
      <c r="R70" s="1589"/>
      <c r="S70" s="1589"/>
      <c r="T70" s="1589"/>
      <c r="U70" s="1589"/>
      <c r="V70" s="1589"/>
      <c r="W70" s="1589"/>
      <c r="X70" s="1589"/>
      <c r="Y70" s="1589"/>
      <c r="Z70" s="1589"/>
      <c r="AA70" s="1589"/>
    </row>
    <row r="71" spans="2:27" ht="15">
      <c r="B71" s="1589"/>
      <c r="C71" s="1589"/>
      <c r="D71" s="1589"/>
      <c r="E71" s="1589"/>
      <c r="F71" s="1589"/>
      <c r="G71" s="1589"/>
      <c r="H71" s="1589"/>
      <c r="I71" s="1589"/>
      <c r="J71" s="1589"/>
      <c r="K71" s="1589"/>
      <c r="L71" s="1589"/>
      <c r="M71" s="1589"/>
      <c r="N71" s="1589"/>
      <c r="O71" s="1589"/>
      <c r="P71" s="1589"/>
      <c r="Q71" s="1589"/>
      <c r="R71" s="1589"/>
      <c r="S71" s="1589"/>
      <c r="T71" s="1589"/>
      <c r="U71" s="1589"/>
      <c r="V71" s="1589"/>
      <c r="W71" s="1589"/>
      <c r="X71" s="1589"/>
      <c r="Y71" s="1589"/>
      <c r="Z71" s="1589"/>
      <c r="AA71" s="158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4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L17" sqref="AL17"/>
    </sheetView>
  </sheetViews>
  <sheetFormatPr defaultColWidth="23.57421875" defaultRowHeight="15"/>
  <cols>
    <col min="1" max="1" width="30.421875" style="0" bestFit="1" customWidth="1"/>
    <col min="2" max="15" width="12.8515625" style="0" bestFit="1" customWidth="1"/>
    <col min="16" max="16" width="12.8515625" style="0" customWidth="1"/>
    <col min="17" max="18" width="12.8515625" style="0" bestFit="1" customWidth="1"/>
    <col min="19" max="19" width="12.8515625" style="0" customWidth="1"/>
    <col min="20" max="53" width="12.8515625" style="0" bestFit="1" customWidth="1"/>
  </cols>
  <sheetData>
    <row r="1" spans="1:51" s="114" customFormat="1" ht="18">
      <c r="A1" s="1702" t="s">
        <v>58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1702"/>
      <c r="T1" s="1702"/>
      <c r="U1" s="1702"/>
      <c r="V1" s="1702"/>
      <c r="W1" s="1702"/>
      <c r="X1" s="1702"/>
      <c r="Y1" s="1702"/>
      <c r="Z1" s="1702"/>
      <c r="AA1" s="1702"/>
      <c r="AB1" s="1702"/>
      <c r="AC1" s="1702"/>
      <c r="AD1" s="1702"/>
      <c r="AE1" s="1702"/>
      <c r="AF1" s="1702"/>
      <c r="AG1" s="1702"/>
      <c r="AH1" s="1702"/>
      <c r="AI1" s="1702"/>
      <c r="AJ1" s="1702"/>
      <c r="AK1" s="1702"/>
      <c r="AL1" s="1702"/>
      <c r="AM1" s="1702"/>
      <c r="AN1" s="1702"/>
      <c r="AO1" s="1702"/>
      <c r="AP1" s="1702"/>
      <c r="AQ1" s="1702"/>
      <c r="AR1" s="1702"/>
      <c r="AS1" s="1702"/>
      <c r="AT1" s="1702"/>
      <c r="AU1" s="1702"/>
      <c r="AV1" s="1702"/>
      <c r="AW1" s="1702"/>
      <c r="AX1" s="1702"/>
      <c r="AY1" s="1702"/>
    </row>
    <row r="2" spans="1:51" s="804" customFormat="1" ht="17.25" thickBot="1">
      <c r="A2" s="1703" t="s">
        <v>59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1703"/>
      <c r="T2" s="1703"/>
      <c r="U2" s="1703"/>
      <c r="V2" s="1703"/>
      <c r="W2" s="1703"/>
      <c r="X2" s="1703"/>
      <c r="Y2" s="1703"/>
      <c r="Z2" s="1703"/>
      <c r="AA2" s="1703"/>
      <c r="AB2" s="1703"/>
      <c r="AC2" s="1703"/>
      <c r="AD2" s="1703"/>
      <c r="AE2" s="1703"/>
      <c r="AF2" s="1703"/>
      <c r="AG2" s="1703"/>
      <c r="AH2" s="1703"/>
      <c r="AI2" s="1703"/>
      <c r="AJ2" s="1703"/>
      <c r="AK2" s="1703"/>
      <c r="AL2" s="1703"/>
      <c r="AM2" s="1703"/>
      <c r="AN2" s="1703"/>
      <c r="AO2" s="1703"/>
      <c r="AP2" s="1703"/>
      <c r="AQ2" s="1703"/>
      <c r="AR2" s="1703"/>
      <c r="AS2" s="1703"/>
      <c r="AT2" s="1703"/>
      <c r="AU2" s="1703"/>
      <c r="AV2" s="1703"/>
      <c r="AW2" s="1703"/>
      <c r="AX2" s="1703"/>
      <c r="AY2" s="1703"/>
    </row>
    <row r="3" spans="1:53" s="1282" customFormat="1" ht="30.75" customHeight="1">
      <c r="A3" s="1704" t="s">
        <v>0</v>
      </c>
      <c r="B3" s="1706" t="s">
        <v>184</v>
      </c>
      <c r="C3" s="1701"/>
      <c r="D3" s="1706" t="s">
        <v>185</v>
      </c>
      <c r="E3" s="1701"/>
      <c r="F3" s="1700" t="s">
        <v>186</v>
      </c>
      <c r="G3" s="1701"/>
      <c r="H3" s="1706" t="s">
        <v>187</v>
      </c>
      <c r="I3" s="1701"/>
      <c r="J3" s="1706" t="s">
        <v>188</v>
      </c>
      <c r="K3" s="1701"/>
      <c r="L3" s="1700" t="s">
        <v>189</v>
      </c>
      <c r="M3" s="1701"/>
      <c r="N3" s="1706" t="s">
        <v>527</v>
      </c>
      <c r="O3" s="1701"/>
      <c r="P3" s="1706" t="s">
        <v>190</v>
      </c>
      <c r="Q3" s="1701"/>
      <c r="R3" s="1706" t="s">
        <v>191</v>
      </c>
      <c r="S3" s="1701"/>
      <c r="T3" s="1706" t="s">
        <v>192</v>
      </c>
      <c r="U3" s="1701"/>
      <c r="V3" s="1706" t="s">
        <v>193</v>
      </c>
      <c r="W3" s="1701"/>
      <c r="X3" s="1700" t="s">
        <v>194</v>
      </c>
      <c r="Y3" s="1701"/>
      <c r="Z3" s="1706" t="s">
        <v>195</v>
      </c>
      <c r="AA3" s="1701"/>
      <c r="AB3" s="1706" t="s">
        <v>196</v>
      </c>
      <c r="AC3" s="1701"/>
      <c r="AD3" s="1698" t="s">
        <v>197</v>
      </c>
      <c r="AE3" s="1699"/>
      <c r="AF3" s="1700" t="s">
        <v>198</v>
      </c>
      <c r="AG3" s="1701"/>
      <c r="AH3" s="1700" t="s">
        <v>199</v>
      </c>
      <c r="AI3" s="1701"/>
      <c r="AJ3" s="1706" t="s">
        <v>200</v>
      </c>
      <c r="AK3" s="1701"/>
      <c r="AL3" s="1698" t="s">
        <v>201</v>
      </c>
      <c r="AM3" s="1699"/>
      <c r="AN3" s="1700" t="s">
        <v>202</v>
      </c>
      <c r="AO3" s="1701"/>
      <c r="AP3" s="1706" t="s">
        <v>203</v>
      </c>
      <c r="AQ3" s="1701"/>
      <c r="AR3" s="1700" t="s">
        <v>204</v>
      </c>
      <c r="AS3" s="1701"/>
      <c r="AT3" s="1700" t="s">
        <v>205</v>
      </c>
      <c r="AU3" s="1701"/>
      <c r="AV3" s="1706" t="s">
        <v>1</v>
      </c>
      <c r="AW3" s="1701"/>
      <c r="AX3" s="1707" t="s">
        <v>206</v>
      </c>
      <c r="AY3" s="1708"/>
      <c r="AZ3" s="1698" t="s">
        <v>2</v>
      </c>
      <c r="BA3" s="1699"/>
    </row>
    <row r="4" spans="1:53" s="806" customFormat="1" ht="15.75" thickBot="1">
      <c r="A4" s="1705"/>
      <c r="B4" s="1401" t="s">
        <v>277</v>
      </c>
      <c r="C4" s="803" t="s">
        <v>446</v>
      </c>
      <c r="D4" s="805" t="s">
        <v>277</v>
      </c>
      <c r="E4" s="803" t="s">
        <v>446</v>
      </c>
      <c r="F4" s="805" t="s">
        <v>277</v>
      </c>
      <c r="G4" s="803" t="s">
        <v>446</v>
      </c>
      <c r="H4" s="805" t="s">
        <v>277</v>
      </c>
      <c r="I4" s="803" t="s">
        <v>446</v>
      </c>
      <c r="J4" s="805" t="s">
        <v>277</v>
      </c>
      <c r="K4" s="803" t="s">
        <v>446</v>
      </c>
      <c r="L4" s="805" t="s">
        <v>277</v>
      </c>
      <c r="M4" s="803" t="s">
        <v>446</v>
      </c>
      <c r="N4" s="805" t="s">
        <v>277</v>
      </c>
      <c r="O4" s="803" t="s">
        <v>446</v>
      </c>
      <c r="P4" s="805" t="s">
        <v>277</v>
      </c>
      <c r="Q4" s="803" t="s">
        <v>446</v>
      </c>
      <c r="R4" s="805" t="s">
        <v>277</v>
      </c>
      <c r="S4" s="803" t="s">
        <v>446</v>
      </c>
      <c r="T4" s="805" t="s">
        <v>277</v>
      </c>
      <c r="U4" s="803" t="s">
        <v>446</v>
      </c>
      <c r="V4" s="805" t="s">
        <v>277</v>
      </c>
      <c r="W4" s="803" t="s">
        <v>446</v>
      </c>
      <c r="X4" s="771" t="s">
        <v>277</v>
      </c>
      <c r="Y4" s="803" t="s">
        <v>446</v>
      </c>
      <c r="Z4" s="772" t="s">
        <v>277</v>
      </c>
      <c r="AA4" s="803" t="s">
        <v>446</v>
      </c>
      <c r="AB4" s="805" t="s">
        <v>277</v>
      </c>
      <c r="AC4" s="803" t="s">
        <v>446</v>
      </c>
      <c r="AD4" s="805" t="s">
        <v>277</v>
      </c>
      <c r="AE4" s="803" t="s">
        <v>446</v>
      </c>
      <c r="AF4" s="771" t="s">
        <v>277</v>
      </c>
      <c r="AG4" s="803" t="s">
        <v>446</v>
      </c>
      <c r="AH4" s="771" t="s">
        <v>277</v>
      </c>
      <c r="AI4" s="803" t="s">
        <v>446</v>
      </c>
      <c r="AJ4" s="805" t="s">
        <v>277</v>
      </c>
      <c r="AK4" s="803" t="s">
        <v>446</v>
      </c>
      <c r="AL4" s="770" t="s">
        <v>277</v>
      </c>
      <c r="AM4" s="803" t="s">
        <v>446</v>
      </c>
      <c r="AN4" s="771" t="s">
        <v>277</v>
      </c>
      <c r="AO4" s="803" t="s">
        <v>446</v>
      </c>
      <c r="AP4" s="805" t="s">
        <v>277</v>
      </c>
      <c r="AQ4" s="803" t="s">
        <v>446</v>
      </c>
      <c r="AR4" s="771" t="s">
        <v>277</v>
      </c>
      <c r="AS4" s="803" t="s">
        <v>446</v>
      </c>
      <c r="AT4" s="771" t="s">
        <v>277</v>
      </c>
      <c r="AU4" s="803" t="s">
        <v>446</v>
      </c>
      <c r="AV4" s="805" t="s">
        <v>277</v>
      </c>
      <c r="AW4" s="803" t="s">
        <v>446</v>
      </c>
      <c r="AX4" s="805" t="s">
        <v>277</v>
      </c>
      <c r="AY4" s="803" t="s">
        <v>446</v>
      </c>
      <c r="AZ4" s="805" t="s">
        <v>277</v>
      </c>
      <c r="BA4" s="803" t="s">
        <v>446</v>
      </c>
    </row>
    <row r="5" spans="1:53" s="118" customFormat="1" ht="14.25">
      <c r="A5" s="645" t="s">
        <v>21</v>
      </c>
      <c r="B5" s="1367"/>
      <c r="C5" s="182"/>
      <c r="D5" s="181"/>
      <c r="E5" s="182"/>
      <c r="F5" s="1378"/>
      <c r="G5" s="182"/>
      <c r="H5" s="181"/>
      <c r="I5" s="182"/>
      <c r="J5" s="181"/>
      <c r="K5" s="182"/>
      <c r="L5" s="1378"/>
      <c r="M5" s="182"/>
      <c r="N5" s="181"/>
      <c r="O5" s="182"/>
      <c r="P5" s="181"/>
      <c r="Q5" s="182"/>
      <c r="R5" s="181"/>
      <c r="S5" s="182"/>
      <c r="T5" s="181"/>
      <c r="U5" s="182"/>
      <c r="V5" s="185"/>
      <c r="W5" s="183"/>
      <c r="X5" s="1294"/>
      <c r="Y5" s="260"/>
      <c r="Z5" s="1404"/>
      <c r="AA5" s="1404"/>
      <c r="AB5" s="181"/>
      <c r="AC5" s="182"/>
      <c r="AD5" s="181"/>
      <c r="AE5" s="182"/>
      <c r="AF5" s="1294"/>
      <c r="AG5" s="260"/>
      <c r="AH5" s="1294"/>
      <c r="AI5" s="260"/>
      <c r="AJ5" s="181"/>
      <c r="AK5" s="182"/>
      <c r="AL5" s="259"/>
      <c r="AM5" s="260"/>
      <c r="AN5" s="1294"/>
      <c r="AO5" s="260"/>
      <c r="AP5" s="181"/>
      <c r="AQ5" s="182"/>
      <c r="AR5" s="1294"/>
      <c r="AS5" s="260"/>
      <c r="AT5" s="1294"/>
      <c r="AU5" s="260"/>
      <c r="AV5" s="646"/>
      <c r="AW5" s="647"/>
      <c r="AX5" s="181"/>
      <c r="AY5" s="182"/>
      <c r="AZ5" s="648"/>
      <c r="BA5" s="649"/>
    </row>
    <row r="6" spans="1:53" s="118" customFormat="1" ht="14.25">
      <c r="A6" s="115" t="s">
        <v>22</v>
      </c>
      <c r="B6" s="1368"/>
      <c r="C6" s="119"/>
      <c r="D6" s="121"/>
      <c r="E6" s="122"/>
      <c r="F6" s="1379"/>
      <c r="G6" s="122"/>
      <c r="H6" s="121"/>
      <c r="I6" s="122"/>
      <c r="J6" s="121"/>
      <c r="K6" s="122"/>
      <c r="L6" s="1379"/>
      <c r="M6" s="122"/>
      <c r="N6" s="121"/>
      <c r="O6" s="122"/>
      <c r="P6" s="121"/>
      <c r="Q6" s="122"/>
      <c r="R6" s="121"/>
      <c r="S6" s="122"/>
      <c r="T6" s="121"/>
      <c r="U6" s="122"/>
      <c r="V6" s="124"/>
      <c r="W6" s="125"/>
      <c r="X6" s="1379"/>
      <c r="Y6" s="122"/>
      <c r="Z6" s="1405"/>
      <c r="AA6" s="1405"/>
      <c r="AB6" s="121"/>
      <c r="AC6" s="122"/>
      <c r="AD6" s="121"/>
      <c r="AE6" s="122"/>
      <c r="AF6" s="1379"/>
      <c r="AG6" s="122"/>
      <c r="AH6" s="1379"/>
      <c r="AI6" s="122"/>
      <c r="AJ6" s="121"/>
      <c r="AK6" s="122"/>
      <c r="AL6" s="120"/>
      <c r="AM6" s="122"/>
      <c r="AN6" s="651"/>
      <c r="AO6" s="117"/>
      <c r="AP6" s="127"/>
      <c r="AQ6" s="1412"/>
      <c r="AR6" s="1410"/>
      <c r="AS6" s="129"/>
      <c r="AT6" s="1379"/>
      <c r="AU6" s="122"/>
      <c r="AV6" s="130"/>
      <c r="AW6" s="131"/>
      <c r="AX6" s="128"/>
      <c r="AY6" s="129"/>
      <c r="AZ6" s="121"/>
      <c r="BA6" s="117"/>
    </row>
    <row r="7" spans="1:53" s="118" customFormat="1" ht="14.25">
      <c r="A7" s="115" t="s">
        <v>23</v>
      </c>
      <c r="B7" s="1360">
        <v>18038644</v>
      </c>
      <c r="C7" s="133">
        <v>17905307</v>
      </c>
      <c r="D7" s="124">
        <v>1121884</v>
      </c>
      <c r="E7" s="125">
        <v>882318</v>
      </c>
      <c r="F7" s="148">
        <v>2724725</v>
      </c>
      <c r="G7" s="125"/>
      <c r="H7" s="124">
        <v>17369555</v>
      </c>
      <c r="I7" s="125">
        <v>19190588</v>
      </c>
      <c r="J7" s="124">
        <v>5776540</v>
      </c>
      <c r="K7" s="125">
        <v>5888505</v>
      </c>
      <c r="L7" s="148">
        <v>9162899</v>
      </c>
      <c r="M7" s="125">
        <v>9688633</v>
      </c>
      <c r="N7" s="124">
        <v>2973838</v>
      </c>
      <c r="O7" s="125">
        <v>1545973</v>
      </c>
      <c r="P7" s="124">
        <v>3901593</v>
      </c>
      <c r="Q7" s="125">
        <v>3518801</v>
      </c>
      <c r="R7" s="124">
        <v>7441695</v>
      </c>
      <c r="S7" s="125">
        <v>7746879</v>
      </c>
      <c r="T7" s="124">
        <v>6402483</v>
      </c>
      <c r="U7" s="125">
        <v>6845885</v>
      </c>
      <c r="V7" s="124">
        <v>50581083</v>
      </c>
      <c r="W7" s="125">
        <v>60442727</v>
      </c>
      <c r="X7" s="148">
        <v>69785341</v>
      </c>
      <c r="Y7" s="125">
        <v>65077876</v>
      </c>
      <c r="Z7" s="1406">
        <v>4257390</v>
      </c>
      <c r="AA7" s="1406">
        <v>2684736</v>
      </c>
      <c r="AB7" s="121">
        <v>6786852.08</v>
      </c>
      <c r="AC7" s="122">
        <v>8485769.56</v>
      </c>
      <c r="AD7" s="124">
        <v>25340697</v>
      </c>
      <c r="AE7" s="125">
        <v>31091622</v>
      </c>
      <c r="AF7" s="148">
        <v>38731233</v>
      </c>
      <c r="AG7" s="125">
        <v>40884995</v>
      </c>
      <c r="AH7" s="148">
        <v>14204417</v>
      </c>
      <c r="AI7" s="125">
        <v>13546597</v>
      </c>
      <c r="AJ7" s="124">
        <v>9983499</v>
      </c>
      <c r="AK7" s="125">
        <v>9373299</v>
      </c>
      <c r="AL7" s="120"/>
      <c r="AM7" s="122"/>
      <c r="AN7" s="91">
        <v>90572278</v>
      </c>
      <c r="AO7" s="92">
        <v>98287923</v>
      </c>
      <c r="AP7" s="138">
        <v>4851358</v>
      </c>
      <c r="AQ7" s="1397">
        <v>4625540</v>
      </c>
      <c r="AR7" s="1345">
        <v>5735857</v>
      </c>
      <c r="AS7" s="1397">
        <v>5784694</v>
      </c>
      <c r="AT7" s="148">
        <v>23125666</v>
      </c>
      <c r="AU7" s="125">
        <v>27705809</v>
      </c>
      <c r="AV7" s="141">
        <f aca="true" t="shared" si="0" ref="AV7:AW10">SUM(B7+D7+F7+H7+J7+L7+N7+P7+R7+T7+V7+X7+Z7+AB7+AD7+AF7+AH7+AJ7+AL7+AN7+AP7+AR7+AT7)</f>
        <v>418869527.08000004</v>
      </c>
      <c r="AW7" s="142">
        <f t="shared" si="0"/>
        <v>441204476.56</v>
      </c>
      <c r="AX7" s="139">
        <v>313262154</v>
      </c>
      <c r="AY7" s="140"/>
      <c r="AZ7" s="141">
        <f aca="true" t="shared" si="1" ref="AZ7:BA10">AV7+AX7</f>
        <v>732131681.08</v>
      </c>
      <c r="BA7" s="142">
        <f t="shared" si="1"/>
        <v>441204476.56</v>
      </c>
    </row>
    <row r="8" spans="1:53" s="118" customFormat="1" ht="14.25">
      <c r="A8" s="115" t="s">
        <v>24</v>
      </c>
      <c r="B8" s="1360">
        <v>35941914</v>
      </c>
      <c r="C8" s="133">
        <v>43527582</v>
      </c>
      <c r="D8" s="124">
        <v>4512483</v>
      </c>
      <c r="E8" s="125">
        <v>4840044</v>
      </c>
      <c r="F8" s="148">
        <v>9811214</v>
      </c>
      <c r="G8" s="125"/>
      <c r="H8" s="124">
        <v>39343316</v>
      </c>
      <c r="I8" s="125">
        <v>45735202</v>
      </c>
      <c r="J8" s="124">
        <v>11644861</v>
      </c>
      <c r="K8" s="125">
        <v>13586969</v>
      </c>
      <c r="L8" s="148">
        <v>20302572</v>
      </c>
      <c r="M8" s="125">
        <v>24150854</v>
      </c>
      <c r="N8" s="124">
        <v>5958000</v>
      </c>
      <c r="O8" s="125">
        <v>7162957</v>
      </c>
      <c r="P8" s="124">
        <v>4634358</v>
      </c>
      <c r="Q8" s="125">
        <v>6653572</v>
      </c>
      <c r="R8" s="124">
        <v>20839988</v>
      </c>
      <c r="S8" s="125">
        <v>23307024</v>
      </c>
      <c r="T8" s="124">
        <v>5282259</v>
      </c>
      <c r="U8" s="125">
        <v>7127490</v>
      </c>
      <c r="V8" s="124">
        <v>142145723</v>
      </c>
      <c r="W8" s="125">
        <v>154684432</v>
      </c>
      <c r="X8" s="148">
        <v>205654188</v>
      </c>
      <c r="Y8" s="125">
        <v>209431834</v>
      </c>
      <c r="Z8" s="1406">
        <v>11258963</v>
      </c>
      <c r="AA8" s="1406">
        <v>12820121</v>
      </c>
      <c r="AB8" s="121">
        <v>11399098.56</v>
      </c>
      <c r="AC8" s="122">
        <v>14936482.13</v>
      </c>
      <c r="AD8" s="124">
        <v>41911758</v>
      </c>
      <c r="AE8" s="125">
        <v>52343083</v>
      </c>
      <c r="AF8" s="148">
        <v>94148222</v>
      </c>
      <c r="AG8" s="125">
        <v>106001674</v>
      </c>
      <c r="AH8" s="148">
        <v>30952977</v>
      </c>
      <c r="AI8" s="125">
        <v>37283108</v>
      </c>
      <c r="AJ8" s="124">
        <v>32909240</v>
      </c>
      <c r="AK8" s="125">
        <v>34348245</v>
      </c>
      <c r="AL8" s="120"/>
      <c r="AM8" s="122"/>
      <c r="AN8" s="91">
        <v>191974386</v>
      </c>
      <c r="AO8" s="92">
        <v>240422341</v>
      </c>
      <c r="AP8" s="138">
        <v>8858833</v>
      </c>
      <c r="AQ8" s="1397">
        <v>10288489</v>
      </c>
      <c r="AR8" s="1345">
        <v>13175650</v>
      </c>
      <c r="AS8" s="1397">
        <v>15393355</v>
      </c>
      <c r="AT8" s="148">
        <v>35932433</v>
      </c>
      <c r="AU8" s="125">
        <v>50664934</v>
      </c>
      <c r="AV8" s="141">
        <f t="shared" si="0"/>
        <v>978592436.56</v>
      </c>
      <c r="AW8" s="142">
        <f t="shared" si="0"/>
        <v>1114709792.13</v>
      </c>
      <c r="AX8" s="139">
        <v>1651691131</v>
      </c>
      <c r="AY8" s="140"/>
      <c r="AZ8" s="141">
        <f t="shared" si="1"/>
        <v>2630283567.56</v>
      </c>
      <c r="BA8" s="142">
        <f t="shared" si="1"/>
        <v>1114709792.13</v>
      </c>
    </row>
    <row r="9" spans="1:53" s="118" customFormat="1" ht="14.25">
      <c r="A9" s="115" t="s">
        <v>25</v>
      </c>
      <c r="B9" s="1360">
        <v>21132054</v>
      </c>
      <c r="C9" s="133">
        <v>18666851</v>
      </c>
      <c r="D9" s="124">
        <v>54452</v>
      </c>
      <c r="E9" s="125">
        <v>35005</v>
      </c>
      <c r="F9" s="148">
        <v>113433</v>
      </c>
      <c r="G9" s="125"/>
      <c r="H9" s="124">
        <v>31858756</v>
      </c>
      <c r="I9" s="125">
        <v>32599487</v>
      </c>
      <c r="J9" s="124">
        <v>3333619</v>
      </c>
      <c r="K9" s="125">
        <v>2397112</v>
      </c>
      <c r="L9" s="148">
        <v>5441977</v>
      </c>
      <c r="M9" s="125">
        <v>5588738</v>
      </c>
      <c r="N9" s="124">
        <v>9236765</v>
      </c>
      <c r="O9" s="125">
        <v>3571693</v>
      </c>
      <c r="P9" s="124">
        <v>657159</v>
      </c>
      <c r="Q9" s="125">
        <v>312474</v>
      </c>
      <c r="R9" s="124">
        <v>580288</v>
      </c>
      <c r="S9" s="125">
        <v>1141953</v>
      </c>
      <c r="T9" s="124">
        <v>746905</v>
      </c>
      <c r="U9" s="125">
        <v>829098</v>
      </c>
      <c r="V9" s="124">
        <v>99133435</v>
      </c>
      <c r="W9" s="125">
        <v>111941779</v>
      </c>
      <c r="X9" s="148">
        <v>33858213</v>
      </c>
      <c r="Y9" s="125">
        <v>59797328</v>
      </c>
      <c r="Z9" s="1406">
        <v>3808814</v>
      </c>
      <c r="AA9" s="1406">
        <v>2920288</v>
      </c>
      <c r="AB9" s="121">
        <v>13939571.28</v>
      </c>
      <c r="AC9" s="122">
        <v>10182112.6</v>
      </c>
      <c r="AD9" s="124">
        <v>14430448</v>
      </c>
      <c r="AE9" s="125">
        <v>19966081</v>
      </c>
      <c r="AF9" s="148">
        <v>12872837</v>
      </c>
      <c r="AG9" s="125">
        <v>14949801</v>
      </c>
      <c r="AH9" s="148">
        <v>2614572</v>
      </c>
      <c r="AI9" s="125">
        <v>4239847</v>
      </c>
      <c r="AJ9" s="124">
        <v>686529</v>
      </c>
      <c r="AK9" s="125">
        <v>687850</v>
      </c>
      <c r="AL9" s="120"/>
      <c r="AM9" s="122"/>
      <c r="AN9" s="91">
        <v>47347549</v>
      </c>
      <c r="AO9" s="92">
        <v>67637025</v>
      </c>
      <c r="AP9" s="138">
        <v>3284433</v>
      </c>
      <c r="AQ9" s="1397">
        <v>2376516</v>
      </c>
      <c r="AR9" s="1345">
        <v>1029237</v>
      </c>
      <c r="AS9" s="1397">
        <v>1925542</v>
      </c>
      <c r="AT9" s="148">
        <v>1639537</v>
      </c>
      <c r="AU9" s="125">
        <v>4714336</v>
      </c>
      <c r="AV9" s="141">
        <f t="shared" si="0"/>
        <v>307800583.28</v>
      </c>
      <c r="AW9" s="142">
        <f t="shared" si="0"/>
        <v>366480916.6</v>
      </c>
      <c r="AX9" s="139">
        <v>1110097426</v>
      </c>
      <c r="AY9" s="140"/>
      <c r="AZ9" s="141">
        <f t="shared" si="1"/>
        <v>1417898009.28</v>
      </c>
      <c r="BA9" s="142">
        <f t="shared" si="1"/>
        <v>366480916.6</v>
      </c>
    </row>
    <row r="10" spans="1:53" s="1293" customFormat="1" ht="14.25">
      <c r="A10" s="1283" t="s">
        <v>26</v>
      </c>
      <c r="B10" s="1287">
        <f aca="true" t="shared" si="2" ref="B10:G10">SUM(B7:B9)</f>
        <v>75112612</v>
      </c>
      <c r="C10" s="1285">
        <f t="shared" si="2"/>
        <v>80099740</v>
      </c>
      <c r="D10" s="1284">
        <f t="shared" si="2"/>
        <v>5688819</v>
      </c>
      <c r="E10" s="1285">
        <f t="shared" si="2"/>
        <v>5757367</v>
      </c>
      <c r="F10" s="1284">
        <f t="shared" si="2"/>
        <v>12649372</v>
      </c>
      <c r="G10" s="1285">
        <f t="shared" si="2"/>
        <v>0</v>
      </c>
      <c r="H10" s="1284">
        <f aca="true" t="shared" si="3" ref="H10:W10">SUM(H7:H9)</f>
        <v>88571627</v>
      </c>
      <c r="I10" s="1285">
        <f t="shared" si="3"/>
        <v>97525277</v>
      </c>
      <c r="J10" s="1284">
        <f t="shared" si="3"/>
        <v>20755020</v>
      </c>
      <c r="K10" s="1285">
        <f t="shared" si="3"/>
        <v>21872586</v>
      </c>
      <c r="L10" s="1284">
        <f t="shared" si="3"/>
        <v>34907448</v>
      </c>
      <c r="M10" s="1285">
        <f t="shared" si="3"/>
        <v>39428225</v>
      </c>
      <c r="N10" s="1284">
        <f t="shared" si="3"/>
        <v>18168603</v>
      </c>
      <c r="O10" s="1285">
        <f t="shared" si="3"/>
        <v>12280623</v>
      </c>
      <c r="P10" s="1284">
        <f t="shared" si="3"/>
        <v>9193110</v>
      </c>
      <c r="Q10" s="1285">
        <f t="shared" si="3"/>
        <v>10484847</v>
      </c>
      <c r="R10" s="1284">
        <f t="shared" si="3"/>
        <v>28861971</v>
      </c>
      <c r="S10" s="1285">
        <f t="shared" si="3"/>
        <v>32195856</v>
      </c>
      <c r="T10" s="1284">
        <f t="shared" si="3"/>
        <v>12431647</v>
      </c>
      <c r="U10" s="1285">
        <f t="shared" si="3"/>
        <v>14802473</v>
      </c>
      <c r="V10" s="1284">
        <f t="shared" si="3"/>
        <v>291860241</v>
      </c>
      <c r="W10" s="1285">
        <f t="shared" si="3"/>
        <v>327068938</v>
      </c>
      <c r="X10" s="1284">
        <f aca="true" t="shared" si="4" ref="X10:AM10">SUM(X7:X9)</f>
        <v>309297742</v>
      </c>
      <c r="Y10" s="1288">
        <f t="shared" si="4"/>
        <v>334307038</v>
      </c>
      <c r="Z10" s="1285">
        <f t="shared" si="4"/>
        <v>19325167</v>
      </c>
      <c r="AA10" s="1285">
        <f t="shared" si="4"/>
        <v>18425145</v>
      </c>
      <c r="AB10" s="1289">
        <f t="shared" si="4"/>
        <v>32125521.92</v>
      </c>
      <c r="AC10" s="1290">
        <f t="shared" si="4"/>
        <v>33604364.29</v>
      </c>
      <c r="AD10" s="1284">
        <f t="shared" si="4"/>
        <v>81682903</v>
      </c>
      <c r="AE10" s="1285">
        <f t="shared" si="4"/>
        <v>103400786</v>
      </c>
      <c r="AF10" s="1284">
        <f t="shared" si="4"/>
        <v>145752292</v>
      </c>
      <c r="AG10" s="1288">
        <f t="shared" si="4"/>
        <v>161836470</v>
      </c>
      <c r="AH10" s="1284">
        <f t="shared" si="4"/>
        <v>47771966</v>
      </c>
      <c r="AI10" s="1288">
        <f t="shared" si="4"/>
        <v>55069552</v>
      </c>
      <c r="AJ10" s="1284">
        <f t="shared" si="4"/>
        <v>43579268</v>
      </c>
      <c r="AK10" s="1285">
        <f t="shared" si="4"/>
        <v>44409394</v>
      </c>
      <c r="AL10" s="1287">
        <f t="shared" si="4"/>
        <v>0</v>
      </c>
      <c r="AM10" s="1288">
        <f t="shared" si="4"/>
        <v>0</v>
      </c>
      <c r="AN10" s="1284">
        <f aca="true" t="shared" si="5" ref="AN10:AU10">SUM(AN7:AN9)</f>
        <v>329894213</v>
      </c>
      <c r="AO10" s="1288">
        <f t="shared" si="5"/>
        <v>406347289</v>
      </c>
      <c r="AP10" s="1284">
        <f t="shared" si="5"/>
        <v>16994624</v>
      </c>
      <c r="AQ10" s="1285">
        <f t="shared" si="5"/>
        <v>17290545</v>
      </c>
      <c r="AR10" s="1284">
        <f t="shared" si="5"/>
        <v>19940744</v>
      </c>
      <c r="AS10" s="1288">
        <f t="shared" si="5"/>
        <v>23103591</v>
      </c>
      <c r="AT10" s="1284">
        <f t="shared" si="5"/>
        <v>60697636</v>
      </c>
      <c r="AU10" s="1288">
        <f t="shared" si="5"/>
        <v>83085079</v>
      </c>
      <c r="AV10" s="1291">
        <f t="shared" si="0"/>
        <v>1705262546.92</v>
      </c>
      <c r="AW10" s="1292">
        <f t="shared" si="0"/>
        <v>1922395185.29</v>
      </c>
      <c r="AX10" s="1291">
        <f>SUM(AX7:AX9)</f>
        <v>3075050711</v>
      </c>
      <c r="AY10" s="1292">
        <f>SUM(AY7:AY9)</f>
        <v>0</v>
      </c>
      <c r="AZ10" s="1291">
        <f t="shared" si="1"/>
        <v>4780313257.92</v>
      </c>
      <c r="BA10" s="1292">
        <f t="shared" si="1"/>
        <v>1922395185.29</v>
      </c>
    </row>
    <row r="11" spans="1:53" s="118" customFormat="1" ht="14.25">
      <c r="A11" s="115" t="s">
        <v>27</v>
      </c>
      <c r="B11" s="1360"/>
      <c r="C11" s="133"/>
      <c r="D11" s="124"/>
      <c r="E11" s="125"/>
      <c r="F11" s="148"/>
      <c r="G11" s="125"/>
      <c r="H11" s="124"/>
      <c r="I11" s="125"/>
      <c r="J11" s="124"/>
      <c r="K11" s="125"/>
      <c r="L11" s="148"/>
      <c r="M11" s="125"/>
      <c r="N11" s="124"/>
      <c r="O11" s="125"/>
      <c r="P11" s="124"/>
      <c r="Q11" s="125"/>
      <c r="R11" s="124"/>
      <c r="S11" s="125"/>
      <c r="T11" s="124"/>
      <c r="U11" s="125"/>
      <c r="V11" s="124"/>
      <c r="W11" s="125"/>
      <c r="X11" s="148"/>
      <c r="Y11" s="125"/>
      <c r="Z11" s="1407"/>
      <c r="AA11" s="1407"/>
      <c r="AB11" s="121"/>
      <c r="AC11" s="122"/>
      <c r="AD11" s="124"/>
      <c r="AE11" s="125"/>
      <c r="AF11" s="148"/>
      <c r="AG11" s="125"/>
      <c r="AH11" s="148"/>
      <c r="AI11" s="125"/>
      <c r="AJ11" s="124"/>
      <c r="AK11" s="125"/>
      <c r="AL11" s="120"/>
      <c r="AM11" s="122"/>
      <c r="AN11" s="651"/>
      <c r="AO11" s="117"/>
      <c r="AP11" s="138"/>
      <c r="AQ11" s="1397"/>
      <c r="AR11" s="1345"/>
      <c r="AS11" s="140"/>
      <c r="AT11" s="148"/>
      <c r="AU11" s="125"/>
      <c r="AV11" s="141"/>
      <c r="AW11" s="142"/>
      <c r="AX11" s="139"/>
      <c r="AY11" s="140"/>
      <c r="AZ11" s="141"/>
      <c r="BA11" s="142"/>
    </row>
    <row r="12" spans="1:53" s="118" customFormat="1" ht="14.25">
      <c r="A12" s="115" t="s">
        <v>28</v>
      </c>
      <c r="B12" s="1360">
        <f>B10</f>
        <v>75112612</v>
      </c>
      <c r="C12" s="133">
        <f>C10</f>
        <v>80099740</v>
      </c>
      <c r="D12" s="151">
        <f aca="true" t="shared" si="6" ref="D12:W12">D10</f>
        <v>5688819</v>
      </c>
      <c r="E12" s="152">
        <f t="shared" si="6"/>
        <v>5757367</v>
      </c>
      <c r="F12" s="151">
        <f t="shared" si="6"/>
        <v>12649372</v>
      </c>
      <c r="G12" s="152">
        <f t="shared" si="6"/>
        <v>0</v>
      </c>
      <c r="H12" s="151">
        <f t="shared" si="6"/>
        <v>88571627</v>
      </c>
      <c r="I12" s="152">
        <f t="shared" si="6"/>
        <v>97525277</v>
      </c>
      <c r="J12" s="151">
        <f t="shared" si="6"/>
        <v>20755020</v>
      </c>
      <c r="K12" s="152">
        <f t="shared" si="6"/>
        <v>21872586</v>
      </c>
      <c r="L12" s="151">
        <f t="shared" si="6"/>
        <v>34907448</v>
      </c>
      <c r="M12" s="152">
        <f t="shared" si="6"/>
        <v>39428225</v>
      </c>
      <c r="N12" s="151">
        <f t="shared" si="6"/>
        <v>18168603</v>
      </c>
      <c r="O12" s="152">
        <f t="shared" si="6"/>
        <v>12280623</v>
      </c>
      <c r="P12" s="151">
        <f t="shared" si="6"/>
        <v>9193110</v>
      </c>
      <c r="Q12" s="152">
        <f t="shared" si="6"/>
        <v>10484847</v>
      </c>
      <c r="R12" s="151">
        <f t="shared" si="6"/>
        <v>28861971</v>
      </c>
      <c r="S12" s="152">
        <f t="shared" si="6"/>
        <v>32195856</v>
      </c>
      <c r="T12" s="151">
        <f t="shared" si="6"/>
        <v>12431647</v>
      </c>
      <c r="U12" s="152">
        <f t="shared" si="6"/>
        <v>14802473</v>
      </c>
      <c r="V12" s="151">
        <f t="shared" si="6"/>
        <v>291860241</v>
      </c>
      <c r="W12" s="152">
        <f t="shared" si="6"/>
        <v>327068938</v>
      </c>
      <c r="X12" s="148">
        <f aca="true" t="shared" si="7" ref="X12:AC12">X10</f>
        <v>309297742</v>
      </c>
      <c r="Y12" s="125">
        <f t="shared" si="7"/>
        <v>334307038</v>
      </c>
      <c r="Z12" s="1407">
        <f t="shared" si="7"/>
        <v>19325167</v>
      </c>
      <c r="AA12" s="1407">
        <f t="shared" si="7"/>
        <v>18425145</v>
      </c>
      <c r="AB12" s="120">
        <f t="shared" si="7"/>
        <v>32125521.92</v>
      </c>
      <c r="AC12" s="650">
        <f t="shared" si="7"/>
        <v>33604364.29</v>
      </c>
      <c r="AD12" s="123">
        <f aca="true" t="shared" si="8" ref="AD12:AI12">AD10</f>
        <v>81682903</v>
      </c>
      <c r="AE12" s="1409">
        <f t="shared" si="8"/>
        <v>103400786</v>
      </c>
      <c r="AF12" s="148">
        <f t="shared" si="8"/>
        <v>145752292</v>
      </c>
      <c r="AG12" s="125">
        <f t="shared" si="8"/>
        <v>161836470</v>
      </c>
      <c r="AH12" s="148">
        <f t="shared" si="8"/>
        <v>47771966</v>
      </c>
      <c r="AI12" s="125">
        <f t="shared" si="8"/>
        <v>55069552</v>
      </c>
      <c r="AJ12" s="123">
        <f aca="true" t="shared" si="9" ref="AJ12:AO12">AJ10</f>
        <v>43579268</v>
      </c>
      <c r="AK12" s="1409">
        <f t="shared" si="9"/>
        <v>44409394</v>
      </c>
      <c r="AL12" s="123">
        <f t="shared" si="9"/>
        <v>0</v>
      </c>
      <c r="AM12" s="125">
        <f t="shared" si="9"/>
        <v>0</v>
      </c>
      <c r="AN12" s="91">
        <f t="shared" si="9"/>
        <v>329894213</v>
      </c>
      <c r="AO12" s="92">
        <f t="shared" si="9"/>
        <v>406347289</v>
      </c>
      <c r="AP12" s="138">
        <f aca="true" t="shared" si="10" ref="AP12:AU12">AP10</f>
        <v>16994624</v>
      </c>
      <c r="AQ12" s="1397">
        <f t="shared" si="10"/>
        <v>17290545</v>
      </c>
      <c r="AR12" s="1345">
        <f t="shared" si="10"/>
        <v>19940744</v>
      </c>
      <c r="AS12" s="140">
        <f t="shared" si="10"/>
        <v>23103591</v>
      </c>
      <c r="AT12" s="1345">
        <f t="shared" si="10"/>
        <v>60697636</v>
      </c>
      <c r="AU12" s="140">
        <f t="shared" si="10"/>
        <v>83085079</v>
      </c>
      <c r="AV12" s="141">
        <f>SUM(B12+D12+F12+H12+J12+L12+N12+P12+R12+T12+V12+X12+Z12+AB12+AD12+AF12+AH12+AJ12+AL12+AN12+AP12+AR12+AT12)</f>
        <v>1705262546.92</v>
      </c>
      <c r="AW12" s="142">
        <f>SUM(C12+E12+G12+I12+K12+M12+O12+Q12+S12+U12+W12+Y12+AA12+AC12+AE12+AG12+AI12+AK12+AM12+AO12+AQ12+AS12+AU12)</f>
        <v>1922395185.29</v>
      </c>
      <c r="AX12" s="139">
        <f>AX10</f>
        <v>3075050711</v>
      </c>
      <c r="AY12" s="140">
        <f>AY10</f>
        <v>0</v>
      </c>
      <c r="AZ12" s="141">
        <f>AV12+AX12</f>
        <v>4780313257.92</v>
      </c>
      <c r="BA12" s="142">
        <f>AW12+AY12</f>
        <v>1922395185.29</v>
      </c>
    </row>
    <row r="13" spans="1:53" s="118" customFormat="1" ht="14.25">
      <c r="A13" s="115" t="s">
        <v>29</v>
      </c>
      <c r="B13" s="1360"/>
      <c r="C13" s="133"/>
      <c r="D13" s="124"/>
      <c r="E13" s="125"/>
      <c r="F13" s="148"/>
      <c r="G13" s="125"/>
      <c r="H13" s="124"/>
      <c r="I13" s="125"/>
      <c r="J13" s="124"/>
      <c r="K13" s="125"/>
      <c r="L13" s="148"/>
      <c r="M13" s="125"/>
      <c r="N13" s="124"/>
      <c r="O13" s="125"/>
      <c r="P13" s="124"/>
      <c r="Q13" s="125"/>
      <c r="R13" s="124"/>
      <c r="S13" s="125"/>
      <c r="T13" s="124"/>
      <c r="U13" s="125"/>
      <c r="V13" s="124"/>
      <c r="W13" s="125"/>
      <c r="X13" s="148"/>
      <c r="Y13" s="125"/>
      <c r="Z13" s="1407"/>
      <c r="AA13" s="1407"/>
      <c r="AB13" s="121"/>
      <c r="AC13" s="122"/>
      <c r="AD13" s="124"/>
      <c r="AE13" s="125"/>
      <c r="AF13" s="148"/>
      <c r="AG13" s="125"/>
      <c r="AH13" s="148"/>
      <c r="AI13" s="125"/>
      <c r="AJ13" s="124"/>
      <c r="AK13" s="125"/>
      <c r="AL13" s="120"/>
      <c r="AM13" s="122"/>
      <c r="AN13" s="651"/>
      <c r="AO13" s="117"/>
      <c r="AP13" s="138"/>
      <c r="AQ13" s="1397"/>
      <c r="AR13" s="1345"/>
      <c r="AS13" s="140"/>
      <c r="AT13" s="148"/>
      <c r="AU13" s="125"/>
      <c r="AV13" s="141"/>
      <c r="AW13" s="142"/>
      <c r="AX13" s="139"/>
      <c r="AY13" s="140"/>
      <c r="AZ13" s="141"/>
      <c r="BA13" s="142"/>
    </row>
    <row r="14" spans="1:53" s="818" customFormat="1" ht="15" thickBot="1">
      <c r="A14" s="807" t="s">
        <v>26</v>
      </c>
      <c r="B14" s="1402">
        <f aca="true" t="shared" si="11" ref="B14:W14">B10</f>
        <v>75112612</v>
      </c>
      <c r="C14" s="808">
        <f t="shared" si="11"/>
        <v>80099740</v>
      </c>
      <c r="D14" s="809">
        <f t="shared" si="11"/>
        <v>5688819</v>
      </c>
      <c r="E14" s="810">
        <f t="shared" si="11"/>
        <v>5757367</v>
      </c>
      <c r="F14" s="809">
        <f t="shared" si="11"/>
        <v>12649372</v>
      </c>
      <c r="G14" s="810">
        <f t="shared" si="11"/>
        <v>0</v>
      </c>
      <c r="H14" s="809">
        <f t="shared" si="11"/>
        <v>88571627</v>
      </c>
      <c r="I14" s="810">
        <f t="shared" si="11"/>
        <v>97525277</v>
      </c>
      <c r="J14" s="809">
        <f t="shared" si="11"/>
        <v>20755020</v>
      </c>
      <c r="K14" s="810">
        <f t="shared" si="11"/>
        <v>21872586</v>
      </c>
      <c r="L14" s="809">
        <f t="shared" si="11"/>
        <v>34907448</v>
      </c>
      <c r="M14" s="810">
        <f t="shared" si="11"/>
        <v>39428225</v>
      </c>
      <c r="N14" s="809">
        <f t="shared" si="11"/>
        <v>18168603</v>
      </c>
      <c r="O14" s="810">
        <f t="shared" si="11"/>
        <v>12280623</v>
      </c>
      <c r="P14" s="809">
        <f t="shared" si="11"/>
        <v>9193110</v>
      </c>
      <c r="Q14" s="810">
        <f t="shared" si="11"/>
        <v>10484847</v>
      </c>
      <c r="R14" s="809">
        <f t="shared" si="11"/>
        <v>28861971</v>
      </c>
      <c r="S14" s="810">
        <f t="shared" si="11"/>
        <v>32195856</v>
      </c>
      <c r="T14" s="809">
        <f t="shared" si="11"/>
        <v>12431647</v>
      </c>
      <c r="U14" s="810">
        <f t="shared" si="11"/>
        <v>14802473</v>
      </c>
      <c r="V14" s="809">
        <f t="shared" si="11"/>
        <v>291860241</v>
      </c>
      <c r="W14" s="810">
        <f t="shared" si="11"/>
        <v>327068938</v>
      </c>
      <c r="X14" s="1403">
        <f aca="true" t="shared" si="12" ref="X14:AC14">X10</f>
        <v>309297742</v>
      </c>
      <c r="Y14" s="1109">
        <f t="shared" si="12"/>
        <v>334307038</v>
      </c>
      <c r="Z14" s="1408">
        <f t="shared" si="12"/>
        <v>19325167</v>
      </c>
      <c r="AA14" s="1408">
        <f t="shared" si="12"/>
        <v>18425145</v>
      </c>
      <c r="AB14" s="813">
        <f t="shared" si="12"/>
        <v>32125521.92</v>
      </c>
      <c r="AC14" s="814">
        <f t="shared" si="12"/>
        <v>33604364.29</v>
      </c>
      <c r="AD14" s="811">
        <f aca="true" t="shared" si="13" ref="AD14:AI14">AD10</f>
        <v>81682903</v>
      </c>
      <c r="AE14" s="812">
        <f t="shared" si="13"/>
        <v>103400786</v>
      </c>
      <c r="AF14" s="1403">
        <f t="shared" si="13"/>
        <v>145752292</v>
      </c>
      <c r="AG14" s="1109">
        <f t="shared" si="13"/>
        <v>161836470</v>
      </c>
      <c r="AH14" s="1403">
        <f t="shared" si="13"/>
        <v>47771966</v>
      </c>
      <c r="AI14" s="1109">
        <f t="shared" si="13"/>
        <v>55069552</v>
      </c>
      <c r="AJ14" s="811">
        <f aca="true" t="shared" si="14" ref="AJ14:AO14">AJ10</f>
        <v>43579268</v>
      </c>
      <c r="AK14" s="812">
        <f t="shared" si="14"/>
        <v>44409394</v>
      </c>
      <c r="AL14" s="811">
        <f t="shared" si="14"/>
        <v>0</v>
      </c>
      <c r="AM14" s="1109">
        <f t="shared" si="14"/>
        <v>0</v>
      </c>
      <c r="AN14" s="1295">
        <f t="shared" si="14"/>
        <v>329894213</v>
      </c>
      <c r="AO14" s="1110">
        <f t="shared" si="14"/>
        <v>406347289</v>
      </c>
      <c r="AP14" s="815">
        <f aca="true" t="shared" si="15" ref="AP14:AU14">AP10</f>
        <v>16994624</v>
      </c>
      <c r="AQ14" s="1413">
        <f t="shared" si="15"/>
        <v>17290545</v>
      </c>
      <c r="AR14" s="1411">
        <f t="shared" si="15"/>
        <v>19940744</v>
      </c>
      <c r="AS14" s="817">
        <f t="shared" si="15"/>
        <v>23103591</v>
      </c>
      <c r="AT14" s="1411">
        <f t="shared" si="15"/>
        <v>60697636</v>
      </c>
      <c r="AU14" s="817">
        <f t="shared" si="15"/>
        <v>83085079</v>
      </c>
      <c r="AV14" s="811">
        <f>SUM(B14+D14+F14+H14+J14+L14+N14+P14+R14+T14+V14+X14+Z14+AB14+AD14+AF14+AH14+AJ14+AL14+AN14+AP14+AR14+AT14)</f>
        <v>1705262546.92</v>
      </c>
      <c r="AW14" s="812">
        <f>SUM(C14+E14+G14+I14+K14+M14+O14+Q14+S14+U14+W14+Y14+AA14+AC14+AE14+AG14+AI14+AK14+AM14+AO14+AQ14+AS14+AU14)</f>
        <v>1922395185.29</v>
      </c>
      <c r="AX14" s="816">
        <f>AX10</f>
        <v>3075050711</v>
      </c>
      <c r="AY14" s="817">
        <f>AY10</f>
        <v>0</v>
      </c>
      <c r="AZ14" s="811">
        <f>AV14+AX14</f>
        <v>4780313257.92</v>
      </c>
      <c r="BA14" s="812">
        <f>AW14+AY14</f>
        <v>1922395185.29</v>
      </c>
    </row>
  </sheetData>
  <sheetProtection/>
  <mergeCells count="29">
    <mergeCell ref="AZ3:BA3"/>
    <mergeCell ref="AV3:AW3"/>
    <mergeCell ref="AR3:AS3"/>
    <mergeCell ref="AT3:AU3"/>
    <mergeCell ref="B3:C3"/>
    <mergeCell ref="D3:E3"/>
    <mergeCell ref="F3:G3"/>
    <mergeCell ref="H3:I3"/>
    <mergeCell ref="J3:K3"/>
    <mergeCell ref="L3:M3"/>
    <mergeCell ref="AH3:AI3"/>
    <mergeCell ref="AJ3:AK3"/>
    <mergeCell ref="T3:U3"/>
    <mergeCell ref="V3:W3"/>
    <mergeCell ref="X3:Y3"/>
    <mergeCell ref="AF3:AG3"/>
    <mergeCell ref="AL3:AM3"/>
    <mergeCell ref="AN3:AO3"/>
    <mergeCell ref="A1:AY1"/>
    <mergeCell ref="A2:AY2"/>
    <mergeCell ref="A3:A4"/>
    <mergeCell ref="AP3:AQ3"/>
    <mergeCell ref="AX3:AY3"/>
    <mergeCell ref="N3:O3"/>
    <mergeCell ref="P3:Q3"/>
    <mergeCell ref="R3:S3"/>
    <mergeCell ref="AD3:AE3"/>
    <mergeCell ref="AB3:AC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7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61.28125" style="190" bestFit="1" customWidth="1"/>
    <col min="2" max="53" width="12.8515625" style="190" bestFit="1" customWidth="1"/>
    <col min="54" max="16384" width="9.140625" style="190" customWidth="1"/>
  </cols>
  <sheetData>
    <row r="1" spans="1:51" s="255" customFormat="1" ht="14.25">
      <c r="A1" s="1306" t="s">
        <v>179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</row>
    <row r="2" spans="1:51" s="819" customFormat="1" ht="14.25" thickBot="1">
      <c r="A2" s="1307" t="s">
        <v>59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P2" s="1307"/>
      <c r="Q2" s="1307"/>
      <c r="R2" s="1307"/>
      <c r="S2" s="1307"/>
      <c r="T2" s="1307"/>
      <c r="U2" s="1307"/>
      <c r="V2" s="1307"/>
      <c r="W2" s="1307"/>
      <c r="X2" s="1307"/>
      <c r="Y2" s="1307"/>
      <c r="Z2" s="1307"/>
      <c r="AA2" s="1307"/>
      <c r="AB2" s="1307"/>
      <c r="AC2" s="1307"/>
      <c r="AD2" s="1307"/>
      <c r="AE2" s="1307"/>
      <c r="AF2" s="1307"/>
      <c r="AG2" s="1307"/>
      <c r="AH2" s="1307"/>
      <c r="AI2" s="1307"/>
      <c r="AJ2" s="1307"/>
      <c r="AK2" s="1307"/>
      <c r="AL2" s="1307"/>
      <c r="AM2" s="1307"/>
      <c r="AN2" s="1307"/>
      <c r="AO2" s="1307"/>
      <c r="AP2" s="1307"/>
      <c r="AQ2" s="1307"/>
      <c r="AR2" s="1307"/>
      <c r="AS2" s="1307"/>
      <c r="AT2" s="1307"/>
      <c r="AU2" s="1307"/>
      <c r="AV2" s="1307"/>
      <c r="AW2" s="1307"/>
      <c r="AX2" s="1307"/>
      <c r="AY2" s="1307"/>
    </row>
    <row r="3" spans="1:53" s="1308" customFormat="1" ht="33" customHeight="1" thickBot="1">
      <c r="A3" s="1358" t="s">
        <v>0</v>
      </c>
      <c r="B3" s="1711" t="s">
        <v>184</v>
      </c>
      <c r="C3" s="1719"/>
      <c r="D3" s="1711" t="s">
        <v>185</v>
      </c>
      <c r="E3" s="1719"/>
      <c r="F3" s="1711" t="s">
        <v>186</v>
      </c>
      <c r="G3" s="1712"/>
      <c r="H3" s="1711" t="s">
        <v>187</v>
      </c>
      <c r="I3" s="1712"/>
      <c r="J3" s="1711" t="s">
        <v>188</v>
      </c>
      <c r="K3" s="1719"/>
      <c r="L3" s="1711" t="s">
        <v>189</v>
      </c>
      <c r="M3" s="1712"/>
      <c r="N3" s="1711" t="s">
        <v>527</v>
      </c>
      <c r="O3" s="1712"/>
      <c r="P3" s="1711" t="s">
        <v>190</v>
      </c>
      <c r="Q3" s="1712"/>
      <c r="R3" s="1711" t="s">
        <v>191</v>
      </c>
      <c r="S3" s="1712"/>
      <c r="T3" s="1711" t="s">
        <v>192</v>
      </c>
      <c r="U3" s="1712"/>
      <c r="V3" s="1711" t="s">
        <v>193</v>
      </c>
      <c r="W3" s="1712"/>
      <c r="X3" s="1711" t="s">
        <v>194</v>
      </c>
      <c r="Y3" s="1712"/>
      <c r="Z3" s="1711" t="s">
        <v>195</v>
      </c>
      <c r="AA3" s="1712"/>
      <c r="AB3" s="1711" t="s">
        <v>196</v>
      </c>
      <c r="AC3" s="1712"/>
      <c r="AD3" s="1717" t="s">
        <v>197</v>
      </c>
      <c r="AE3" s="1718"/>
      <c r="AF3" s="1711" t="s">
        <v>198</v>
      </c>
      <c r="AG3" s="1712"/>
      <c r="AH3" s="1711" t="s">
        <v>199</v>
      </c>
      <c r="AI3" s="1712"/>
      <c r="AJ3" s="1711" t="s">
        <v>200</v>
      </c>
      <c r="AK3" s="1712"/>
      <c r="AL3" s="1717" t="s">
        <v>201</v>
      </c>
      <c r="AM3" s="1718"/>
      <c r="AN3" s="1711" t="s">
        <v>202</v>
      </c>
      <c r="AO3" s="1712"/>
      <c r="AP3" s="1711" t="s">
        <v>203</v>
      </c>
      <c r="AQ3" s="1712"/>
      <c r="AR3" s="1713" t="s">
        <v>204</v>
      </c>
      <c r="AS3" s="1714"/>
      <c r="AT3" s="1713" t="s">
        <v>205</v>
      </c>
      <c r="AU3" s="1714"/>
      <c r="AV3" s="1713" t="s">
        <v>1</v>
      </c>
      <c r="AW3" s="1716"/>
      <c r="AX3" s="1715" t="s">
        <v>206</v>
      </c>
      <c r="AY3" s="1715"/>
      <c r="AZ3" s="1709" t="s">
        <v>2</v>
      </c>
      <c r="BA3" s="1710"/>
    </row>
    <row r="4" spans="1:53" s="819" customFormat="1" ht="14.25" customHeight="1" thickBot="1">
      <c r="A4" s="1359"/>
      <c r="B4" s="780" t="s">
        <v>277</v>
      </c>
      <c r="C4" s="782" t="s">
        <v>446</v>
      </c>
      <c r="D4" s="780" t="s">
        <v>277</v>
      </c>
      <c r="E4" s="782" t="s">
        <v>446</v>
      </c>
      <c r="F4" s="780" t="s">
        <v>277</v>
      </c>
      <c r="G4" s="782" t="s">
        <v>446</v>
      </c>
      <c r="H4" s="780" t="s">
        <v>277</v>
      </c>
      <c r="I4" s="782" t="s">
        <v>446</v>
      </c>
      <c r="J4" s="780" t="s">
        <v>277</v>
      </c>
      <c r="K4" s="782" t="s">
        <v>446</v>
      </c>
      <c r="L4" s="780" t="s">
        <v>277</v>
      </c>
      <c r="M4" s="782" t="s">
        <v>446</v>
      </c>
      <c r="N4" s="780" t="s">
        <v>277</v>
      </c>
      <c r="O4" s="781" t="s">
        <v>446</v>
      </c>
      <c r="P4" s="780" t="s">
        <v>277</v>
      </c>
      <c r="Q4" s="781" t="s">
        <v>446</v>
      </c>
      <c r="R4" s="780" t="s">
        <v>277</v>
      </c>
      <c r="S4" s="781" t="s">
        <v>446</v>
      </c>
      <c r="T4" s="780" t="s">
        <v>277</v>
      </c>
      <c r="U4" s="781" t="s">
        <v>446</v>
      </c>
      <c r="V4" s="780" t="s">
        <v>277</v>
      </c>
      <c r="W4" s="781" t="s">
        <v>446</v>
      </c>
      <c r="X4" s="780" t="s">
        <v>277</v>
      </c>
      <c r="Y4" s="781" t="s">
        <v>446</v>
      </c>
      <c r="Z4" s="780" t="s">
        <v>277</v>
      </c>
      <c r="AA4" s="781" t="s">
        <v>446</v>
      </c>
      <c r="AB4" s="780" t="s">
        <v>277</v>
      </c>
      <c r="AC4" s="781" t="s">
        <v>446</v>
      </c>
      <c r="AD4" s="780" t="s">
        <v>277</v>
      </c>
      <c r="AE4" s="781" t="s">
        <v>446</v>
      </c>
      <c r="AF4" s="780" t="s">
        <v>277</v>
      </c>
      <c r="AG4" s="781" t="s">
        <v>446</v>
      </c>
      <c r="AH4" s="780" t="s">
        <v>277</v>
      </c>
      <c r="AI4" s="781" t="s">
        <v>446</v>
      </c>
      <c r="AJ4" s="780" t="s">
        <v>277</v>
      </c>
      <c r="AK4" s="781" t="s">
        <v>446</v>
      </c>
      <c r="AL4" s="780" t="s">
        <v>277</v>
      </c>
      <c r="AM4" s="781" t="s">
        <v>446</v>
      </c>
      <c r="AN4" s="780" t="s">
        <v>277</v>
      </c>
      <c r="AO4" s="781" t="s">
        <v>446</v>
      </c>
      <c r="AP4" s="780" t="s">
        <v>277</v>
      </c>
      <c r="AQ4" s="781" t="s">
        <v>446</v>
      </c>
      <c r="AR4" s="780" t="s">
        <v>277</v>
      </c>
      <c r="AS4" s="781" t="s">
        <v>446</v>
      </c>
      <c r="AT4" s="780" t="s">
        <v>277</v>
      </c>
      <c r="AU4" s="781" t="s">
        <v>446</v>
      </c>
      <c r="AV4" s="780" t="s">
        <v>277</v>
      </c>
      <c r="AW4" s="782" t="s">
        <v>446</v>
      </c>
      <c r="AX4" s="781" t="s">
        <v>277</v>
      </c>
      <c r="AY4" s="781" t="s">
        <v>446</v>
      </c>
      <c r="AZ4" s="780" t="s">
        <v>277</v>
      </c>
      <c r="BA4" s="782" t="s">
        <v>446</v>
      </c>
    </row>
    <row r="5" spans="1:53" s="176" customFormat="1" ht="14.25">
      <c r="A5" s="644" t="s">
        <v>60</v>
      </c>
      <c r="B5" s="186"/>
      <c r="C5" s="183"/>
      <c r="D5" s="186"/>
      <c r="E5" s="183"/>
      <c r="F5" s="186"/>
      <c r="G5" s="187"/>
      <c r="H5" s="186"/>
      <c r="I5" s="187"/>
      <c r="J5" s="186"/>
      <c r="K5" s="183"/>
      <c r="L5" s="186"/>
      <c r="M5" s="187"/>
      <c r="N5" s="186"/>
      <c r="O5" s="187"/>
      <c r="P5" s="186"/>
      <c r="Q5" s="187"/>
      <c r="R5" s="186"/>
      <c r="S5" s="187"/>
      <c r="T5" s="186"/>
      <c r="U5" s="187"/>
      <c r="V5" s="186"/>
      <c r="W5" s="187"/>
      <c r="X5" s="186"/>
      <c r="Y5" s="187"/>
      <c r="Z5" s="186"/>
      <c r="AA5" s="187"/>
      <c r="AB5" s="186"/>
      <c r="AC5" s="187"/>
      <c r="AD5" s="186"/>
      <c r="AE5" s="187"/>
      <c r="AF5" s="186"/>
      <c r="AG5" s="187"/>
      <c r="AH5" s="186"/>
      <c r="AI5" s="187"/>
      <c r="AJ5" s="186"/>
      <c r="AK5" s="187"/>
      <c r="AL5" s="186"/>
      <c r="AM5" s="187"/>
      <c r="AN5" s="186"/>
      <c r="AO5" s="187"/>
      <c r="AP5" s="186"/>
      <c r="AQ5" s="187"/>
      <c r="AR5" s="186"/>
      <c r="AS5" s="187"/>
      <c r="AT5" s="186"/>
      <c r="AU5" s="187"/>
      <c r="AV5" s="186"/>
      <c r="AW5" s="183"/>
      <c r="AX5" s="184"/>
      <c r="AY5" s="187"/>
      <c r="AZ5" s="188"/>
      <c r="BA5" s="189"/>
    </row>
    <row r="6" spans="1:53" s="176" customFormat="1" ht="14.25">
      <c r="A6" s="191" t="s">
        <v>61</v>
      </c>
      <c r="B6" s="1360">
        <v>3058610</v>
      </c>
      <c r="C6" s="133">
        <v>3119034</v>
      </c>
      <c r="D6" s="123">
        <v>13068</v>
      </c>
      <c r="E6" s="125">
        <v>25693</v>
      </c>
      <c r="F6" s="123">
        <v>98940</v>
      </c>
      <c r="G6" s="134"/>
      <c r="H6" s="123">
        <v>1868101</v>
      </c>
      <c r="I6" s="134">
        <v>2419502</v>
      </c>
      <c r="J6" s="123">
        <v>1308905</v>
      </c>
      <c r="K6" s="125">
        <v>1302893</v>
      </c>
      <c r="L6" s="123">
        <v>1400069</v>
      </c>
      <c r="M6" s="134">
        <v>1563594</v>
      </c>
      <c r="N6" s="123">
        <v>408800</v>
      </c>
      <c r="O6" s="134">
        <v>185021</v>
      </c>
      <c r="P6" s="123">
        <v>463838</v>
      </c>
      <c r="Q6" s="134">
        <v>541696</v>
      </c>
      <c r="R6" s="123">
        <v>1409224</v>
      </c>
      <c r="S6" s="134">
        <v>1452144</v>
      </c>
      <c r="T6" s="123">
        <v>423309</v>
      </c>
      <c r="U6" s="134">
        <v>393959</v>
      </c>
      <c r="V6" s="123">
        <v>7839356</v>
      </c>
      <c r="W6" s="134">
        <v>10820454</v>
      </c>
      <c r="X6" s="123">
        <v>11197897</v>
      </c>
      <c r="Y6" s="134">
        <v>10766406</v>
      </c>
      <c r="Z6" s="1355">
        <v>789158</v>
      </c>
      <c r="AA6" s="820">
        <v>461019</v>
      </c>
      <c r="AB6" s="123">
        <v>784056</v>
      </c>
      <c r="AC6" s="134">
        <v>1061778.18</v>
      </c>
      <c r="AD6" s="123">
        <v>3204019</v>
      </c>
      <c r="AE6" s="134">
        <v>3122264</v>
      </c>
      <c r="AF6" s="123">
        <v>7023141</v>
      </c>
      <c r="AG6" s="134">
        <v>7036947</v>
      </c>
      <c r="AH6" s="123">
        <v>1689932</v>
      </c>
      <c r="AI6" s="134">
        <v>1688455</v>
      </c>
      <c r="AJ6" s="123">
        <v>1046931</v>
      </c>
      <c r="AK6" s="134">
        <v>1014516</v>
      </c>
      <c r="AL6" s="123"/>
      <c r="AM6" s="134"/>
      <c r="AN6" s="1351">
        <v>7527259</v>
      </c>
      <c r="AO6" s="191">
        <v>8238894</v>
      </c>
      <c r="AP6" s="1349">
        <v>783168</v>
      </c>
      <c r="AQ6" s="149">
        <v>780649</v>
      </c>
      <c r="AR6" s="1347">
        <v>939174</v>
      </c>
      <c r="AS6" s="150">
        <v>822488</v>
      </c>
      <c r="AT6" s="123">
        <v>4652387</v>
      </c>
      <c r="AU6" s="134">
        <v>6320695</v>
      </c>
      <c r="AV6" s="141">
        <f aca="true" t="shared" si="0" ref="AV6:AW12">SUM(B6+D6+F6+H6+J6+L6+N6+P6+R6+T6+V6+X6+Z6+AB6+AD6+AF6+AH6+AJ6+AL6+AN6+AP6+AR6+AT6)</f>
        <v>57929342</v>
      </c>
      <c r="AW6" s="152">
        <f t="shared" si="0"/>
        <v>63138101.18</v>
      </c>
      <c r="AX6" s="1345">
        <v>87996101</v>
      </c>
      <c r="AY6" s="150"/>
      <c r="AZ6" s="141">
        <f aca="true" t="shared" si="1" ref="AZ6:BA12">AV6+AX6</f>
        <v>145925443</v>
      </c>
      <c r="BA6" s="142">
        <f t="shared" si="1"/>
        <v>63138101.18</v>
      </c>
    </row>
    <row r="7" spans="1:53" s="176" customFormat="1" ht="14.25">
      <c r="A7" s="191" t="s">
        <v>62</v>
      </c>
      <c r="B7" s="1360">
        <v>1070690</v>
      </c>
      <c r="C7" s="133">
        <v>1337307</v>
      </c>
      <c r="D7" s="123">
        <v>28344</v>
      </c>
      <c r="E7" s="125">
        <v>20519</v>
      </c>
      <c r="F7" s="123">
        <v>106048</v>
      </c>
      <c r="G7" s="134"/>
      <c r="H7" s="123">
        <v>740196</v>
      </c>
      <c r="I7" s="134">
        <v>790404</v>
      </c>
      <c r="J7" s="123">
        <v>398118</v>
      </c>
      <c r="K7" s="125">
        <v>493817</v>
      </c>
      <c r="L7" s="123">
        <v>423746</v>
      </c>
      <c r="M7" s="134">
        <v>630417</v>
      </c>
      <c r="N7" s="123">
        <v>120817</v>
      </c>
      <c r="O7" s="134">
        <v>131291</v>
      </c>
      <c r="P7" s="123">
        <v>130073</v>
      </c>
      <c r="Q7" s="134">
        <v>176847</v>
      </c>
      <c r="R7" s="123">
        <v>438110</v>
      </c>
      <c r="S7" s="134">
        <v>440907</v>
      </c>
      <c r="T7" s="123">
        <v>81968</v>
      </c>
      <c r="U7" s="134">
        <v>114309</v>
      </c>
      <c r="V7" s="123">
        <v>2137182</v>
      </c>
      <c r="W7" s="134">
        <v>2405302</v>
      </c>
      <c r="X7" s="123">
        <v>3844593</v>
      </c>
      <c r="Y7" s="134">
        <v>3817250</v>
      </c>
      <c r="Z7" s="1355">
        <v>191940</v>
      </c>
      <c r="AA7" s="820">
        <v>216888</v>
      </c>
      <c r="AB7" s="123">
        <v>287124</v>
      </c>
      <c r="AC7" s="134">
        <v>343983.33</v>
      </c>
      <c r="AD7" s="123">
        <v>1314552</v>
      </c>
      <c r="AE7" s="134">
        <v>1666257</v>
      </c>
      <c r="AF7" s="123">
        <v>2503614</v>
      </c>
      <c r="AG7" s="134">
        <v>2779327</v>
      </c>
      <c r="AH7" s="123">
        <v>733190</v>
      </c>
      <c r="AI7" s="134">
        <v>944542</v>
      </c>
      <c r="AJ7" s="123">
        <v>683342</v>
      </c>
      <c r="AK7" s="134">
        <v>697599</v>
      </c>
      <c r="AL7" s="123"/>
      <c r="AM7" s="134"/>
      <c r="AN7" s="1351">
        <v>5213114</v>
      </c>
      <c r="AO7" s="191">
        <v>6443915</v>
      </c>
      <c r="AP7" s="1349">
        <v>262495</v>
      </c>
      <c r="AQ7" s="149">
        <v>315157</v>
      </c>
      <c r="AR7" s="1347">
        <v>525183</v>
      </c>
      <c r="AS7" s="150">
        <v>632077</v>
      </c>
      <c r="AT7" s="123">
        <v>964533</v>
      </c>
      <c r="AU7" s="134">
        <v>1485669</v>
      </c>
      <c r="AV7" s="141">
        <f t="shared" si="0"/>
        <v>22198972</v>
      </c>
      <c r="AW7" s="152">
        <f t="shared" si="0"/>
        <v>25883784.33</v>
      </c>
      <c r="AX7" s="1345">
        <v>100579851</v>
      </c>
      <c r="AY7" s="150"/>
      <c r="AZ7" s="141">
        <f t="shared" si="1"/>
        <v>122778823</v>
      </c>
      <c r="BA7" s="142">
        <f t="shared" si="1"/>
        <v>25883784.33</v>
      </c>
    </row>
    <row r="8" spans="1:53" s="176" customFormat="1" ht="14.25">
      <c r="A8" s="191" t="s">
        <v>63</v>
      </c>
      <c r="B8" s="1360">
        <v>48198</v>
      </c>
      <c r="C8" s="133">
        <v>85587</v>
      </c>
      <c r="D8" s="123">
        <v>8</v>
      </c>
      <c r="E8" s="125">
        <v>7</v>
      </c>
      <c r="F8" s="123">
        <v>104</v>
      </c>
      <c r="G8" s="134"/>
      <c r="H8" s="123">
        <v>424998</v>
      </c>
      <c r="I8" s="134">
        <v>698283</v>
      </c>
      <c r="J8" s="123">
        <v>12958</v>
      </c>
      <c r="K8" s="125">
        <v>9719</v>
      </c>
      <c r="L8" s="123">
        <v>26232</v>
      </c>
      <c r="M8" s="134">
        <v>51341</v>
      </c>
      <c r="N8" s="123">
        <v>283898</v>
      </c>
      <c r="O8" s="134">
        <v>75500</v>
      </c>
      <c r="P8" s="123">
        <v>1984</v>
      </c>
      <c r="Q8" s="134">
        <v>4623</v>
      </c>
      <c r="R8" s="123">
        <v>5438</v>
      </c>
      <c r="S8" s="134">
        <v>10309</v>
      </c>
      <c r="T8" s="123">
        <v>4450</v>
      </c>
      <c r="U8" s="134">
        <v>5125</v>
      </c>
      <c r="V8" s="123">
        <v>1200257</v>
      </c>
      <c r="W8" s="134">
        <v>1411923</v>
      </c>
      <c r="X8" s="123">
        <v>470400</v>
      </c>
      <c r="Y8" s="134">
        <v>630148</v>
      </c>
      <c r="Z8" s="1355">
        <v>91307</v>
      </c>
      <c r="AA8" s="820">
        <v>79360</v>
      </c>
      <c r="AB8" s="123">
        <v>79301</v>
      </c>
      <c r="AC8" s="134">
        <v>98708.94</v>
      </c>
      <c r="AD8" s="123">
        <v>228676</v>
      </c>
      <c r="AE8" s="134">
        <v>425100</v>
      </c>
      <c r="AF8" s="123">
        <v>156659</v>
      </c>
      <c r="AG8" s="134">
        <v>165387</v>
      </c>
      <c r="AH8" s="123">
        <v>84584</v>
      </c>
      <c r="AI8" s="134">
        <v>192640</v>
      </c>
      <c r="AJ8" s="123">
        <v>3290</v>
      </c>
      <c r="AK8" s="134">
        <v>4297</v>
      </c>
      <c r="AL8" s="123"/>
      <c r="AM8" s="134"/>
      <c r="AN8" s="1351">
        <v>723097</v>
      </c>
      <c r="AO8" s="191">
        <v>979408</v>
      </c>
      <c r="AP8" s="1349">
        <v>8639</v>
      </c>
      <c r="AQ8" s="149">
        <v>6729</v>
      </c>
      <c r="AR8" s="1347">
        <v>35508</v>
      </c>
      <c r="AS8" s="150">
        <v>64429</v>
      </c>
      <c r="AT8" s="123">
        <v>23458</v>
      </c>
      <c r="AU8" s="134">
        <v>77272</v>
      </c>
      <c r="AV8" s="141">
        <f t="shared" si="0"/>
        <v>3913444</v>
      </c>
      <c r="AW8" s="152">
        <f t="shared" si="0"/>
        <v>5075895.9399999995</v>
      </c>
      <c r="AX8" s="1345">
        <v>4877203</v>
      </c>
      <c r="AY8" s="150"/>
      <c r="AZ8" s="141">
        <f t="shared" si="1"/>
        <v>8790647</v>
      </c>
      <c r="BA8" s="142">
        <f t="shared" si="1"/>
        <v>5075895.9399999995</v>
      </c>
    </row>
    <row r="9" spans="1:53" s="1301" customFormat="1" ht="14.25">
      <c r="A9" s="1296" t="s">
        <v>54</v>
      </c>
      <c r="B9" s="1287">
        <f>SUM(B6:B8)</f>
        <v>4177498</v>
      </c>
      <c r="C9" s="1302">
        <f>SUM(C6:C8)</f>
        <v>4541928</v>
      </c>
      <c r="D9" s="1291">
        <f>SUM(D6:D8)</f>
        <v>41420</v>
      </c>
      <c r="E9" s="1298">
        <f>SUM(E6:E8)</f>
        <v>46219</v>
      </c>
      <c r="F9" s="1291">
        <f aca="true" t="shared" si="2" ref="F9:M9">SUM(F6:F8)</f>
        <v>205092</v>
      </c>
      <c r="G9" s="1299">
        <f t="shared" si="2"/>
        <v>0</v>
      </c>
      <c r="H9" s="1291">
        <f t="shared" si="2"/>
        <v>3033295</v>
      </c>
      <c r="I9" s="1299">
        <f t="shared" si="2"/>
        <v>3908189</v>
      </c>
      <c r="J9" s="1291">
        <f t="shared" si="2"/>
        <v>1719981</v>
      </c>
      <c r="K9" s="1298">
        <f t="shared" si="2"/>
        <v>1806429</v>
      </c>
      <c r="L9" s="1291">
        <f t="shared" si="2"/>
        <v>1850047</v>
      </c>
      <c r="M9" s="1299">
        <f t="shared" si="2"/>
        <v>2245352</v>
      </c>
      <c r="N9" s="1291">
        <f aca="true" t="shared" si="3" ref="N9:W9">SUM(N6:N8)</f>
        <v>813515</v>
      </c>
      <c r="O9" s="1299">
        <f t="shared" si="3"/>
        <v>391812</v>
      </c>
      <c r="P9" s="1291">
        <f t="shared" si="3"/>
        <v>595895</v>
      </c>
      <c r="Q9" s="1299">
        <f t="shared" si="3"/>
        <v>723166</v>
      </c>
      <c r="R9" s="1291">
        <f t="shared" si="3"/>
        <v>1852772</v>
      </c>
      <c r="S9" s="1299">
        <f t="shared" si="3"/>
        <v>1903360</v>
      </c>
      <c r="T9" s="1291">
        <f t="shared" si="3"/>
        <v>509727</v>
      </c>
      <c r="U9" s="1299">
        <f t="shared" si="3"/>
        <v>513393</v>
      </c>
      <c r="V9" s="1291">
        <f t="shared" si="3"/>
        <v>11176795</v>
      </c>
      <c r="W9" s="1299">
        <f t="shared" si="3"/>
        <v>14637679</v>
      </c>
      <c r="X9" s="1291">
        <f aca="true" t="shared" si="4" ref="X9:AP9">SUM(X6:X8)</f>
        <v>15512890</v>
      </c>
      <c r="Y9" s="1299">
        <f t="shared" si="4"/>
        <v>15213804</v>
      </c>
      <c r="Z9" s="1291">
        <f t="shared" si="4"/>
        <v>1072405</v>
      </c>
      <c r="AA9" s="1299">
        <f t="shared" si="4"/>
        <v>757267</v>
      </c>
      <c r="AB9" s="1291">
        <f t="shared" si="4"/>
        <v>1150481</v>
      </c>
      <c r="AC9" s="1299">
        <f t="shared" si="4"/>
        <v>1504470.45</v>
      </c>
      <c r="AD9" s="1291">
        <f t="shared" si="4"/>
        <v>4747247</v>
      </c>
      <c r="AE9" s="1299">
        <f t="shared" si="4"/>
        <v>5213621</v>
      </c>
      <c r="AF9" s="1291">
        <f t="shared" si="4"/>
        <v>9683414</v>
      </c>
      <c r="AG9" s="1299">
        <f t="shared" si="4"/>
        <v>9981661</v>
      </c>
      <c r="AH9" s="1291">
        <f t="shared" si="4"/>
        <v>2507706</v>
      </c>
      <c r="AI9" s="1299">
        <f t="shared" si="4"/>
        <v>2825637</v>
      </c>
      <c r="AJ9" s="1291">
        <f t="shared" si="4"/>
        <v>1733563</v>
      </c>
      <c r="AK9" s="1299">
        <f t="shared" si="4"/>
        <v>1716412</v>
      </c>
      <c r="AL9" s="1291">
        <f t="shared" si="4"/>
        <v>0</v>
      </c>
      <c r="AM9" s="1299">
        <f t="shared" si="4"/>
        <v>0</v>
      </c>
      <c r="AN9" s="1291">
        <f t="shared" si="4"/>
        <v>13463470</v>
      </c>
      <c r="AO9" s="1299">
        <f t="shared" si="4"/>
        <v>15662217</v>
      </c>
      <c r="AP9" s="1291">
        <f t="shared" si="4"/>
        <v>1054302</v>
      </c>
      <c r="AQ9" s="1296">
        <f>SUM(AQ6:AQ8)</f>
        <v>1102535</v>
      </c>
      <c r="AR9" s="1291">
        <f>SUM(AR6:AR8)</f>
        <v>1499865</v>
      </c>
      <c r="AS9" s="1296">
        <f>SUM(AS6:AS8)</f>
        <v>1518994</v>
      </c>
      <c r="AT9" s="1291">
        <f>SUM(AT6:AT8)</f>
        <v>5640378</v>
      </c>
      <c r="AU9" s="1296">
        <f>SUM(AU6:AU8)</f>
        <v>7883636</v>
      </c>
      <c r="AV9" s="1291">
        <f t="shared" si="0"/>
        <v>84041758</v>
      </c>
      <c r="AW9" s="1298">
        <f t="shared" si="0"/>
        <v>94097781.45</v>
      </c>
      <c r="AX9" s="1303">
        <f>SUM(AX6:AX8)</f>
        <v>193453155</v>
      </c>
      <c r="AY9" s="1300">
        <f>SUM(AY6:AY8)</f>
        <v>0</v>
      </c>
      <c r="AZ9" s="1291">
        <f t="shared" si="1"/>
        <v>277494913</v>
      </c>
      <c r="BA9" s="1292">
        <f t="shared" si="1"/>
        <v>94097781.45</v>
      </c>
    </row>
    <row r="10" spans="1:53" s="176" customFormat="1" ht="14.25">
      <c r="A10" s="191" t="s">
        <v>64</v>
      </c>
      <c r="B10" s="1361"/>
      <c r="C10" s="1363"/>
      <c r="D10" s="141"/>
      <c r="E10" s="145"/>
      <c r="F10" s="141"/>
      <c r="G10" s="146"/>
      <c r="H10" s="141"/>
      <c r="I10" s="146"/>
      <c r="J10" s="141"/>
      <c r="K10" s="145"/>
      <c r="L10" s="141"/>
      <c r="M10" s="146"/>
      <c r="N10" s="141"/>
      <c r="O10" s="146"/>
      <c r="P10" s="141"/>
      <c r="Q10" s="146"/>
      <c r="R10" s="141"/>
      <c r="S10" s="146"/>
      <c r="T10" s="141"/>
      <c r="U10" s="146"/>
      <c r="V10" s="141"/>
      <c r="W10" s="146"/>
      <c r="X10" s="141"/>
      <c r="Y10" s="146"/>
      <c r="Z10" s="1355"/>
      <c r="AA10" s="820"/>
      <c r="AB10" s="141"/>
      <c r="AC10" s="146"/>
      <c r="AD10" s="1354"/>
      <c r="AE10" s="821"/>
      <c r="AF10" s="141"/>
      <c r="AG10" s="146"/>
      <c r="AH10" s="141"/>
      <c r="AI10" s="146"/>
      <c r="AJ10" s="141"/>
      <c r="AK10" s="146"/>
      <c r="AL10" s="123"/>
      <c r="AM10" s="134"/>
      <c r="AN10" s="123"/>
      <c r="AO10" s="134"/>
      <c r="AP10" s="1349"/>
      <c r="AQ10" s="149"/>
      <c r="AR10" s="1347"/>
      <c r="AS10" s="150"/>
      <c r="AT10" s="141"/>
      <c r="AU10" s="146"/>
      <c r="AV10" s="141">
        <f t="shared" si="0"/>
        <v>0</v>
      </c>
      <c r="AW10" s="152">
        <f t="shared" si="0"/>
        <v>0</v>
      </c>
      <c r="AX10" s="151"/>
      <c r="AY10" s="146"/>
      <c r="AZ10" s="141">
        <f t="shared" si="1"/>
        <v>0</v>
      </c>
      <c r="BA10" s="142">
        <f t="shared" si="1"/>
        <v>0</v>
      </c>
    </row>
    <row r="11" spans="1:53" s="176" customFormat="1" ht="14.25">
      <c r="A11" s="191" t="s">
        <v>65</v>
      </c>
      <c r="B11" s="1360"/>
      <c r="C11" s="133"/>
      <c r="D11" s="123"/>
      <c r="E11" s="125"/>
      <c r="F11" s="123"/>
      <c r="G11" s="134"/>
      <c r="H11" s="123">
        <v>-4198</v>
      </c>
      <c r="I11" s="134">
        <v>-5781</v>
      </c>
      <c r="J11" s="123"/>
      <c r="K11" s="125"/>
      <c r="L11" s="123"/>
      <c r="M11" s="134"/>
      <c r="N11" s="123"/>
      <c r="O11" s="134"/>
      <c r="P11" s="123"/>
      <c r="Q11" s="134"/>
      <c r="R11" s="123"/>
      <c r="S11" s="134"/>
      <c r="T11" s="123"/>
      <c r="U11" s="134"/>
      <c r="V11" s="123"/>
      <c r="W11" s="134"/>
      <c r="X11" s="123"/>
      <c r="Y11" s="134"/>
      <c r="Z11" s="123"/>
      <c r="AA11" s="134"/>
      <c r="AB11" s="123"/>
      <c r="AC11" s="134"/>
      <c r="AD11" s="123"/>
      <c r="AE11" s="134"/>
      <c r="AF11" s="123"/>
      <c r="AG11" s="134"/>
      <c r="AH11" s="123"/>
      <c r="AI11" s="134"/>
      <c r="AJ11" s="123"/>
      <c r="AK11" s="134"/>
      <c r="AL11" s="123"/>
      <c r="AM11" s="134"/>
      <c r="AN11" s="123"/>
      <c r="AO11" s="134"/>
      <c r="AP11" s="1349"/>
      <c r="AQ11" s="149"/>
      <c r="AR11" s="1347"/>
      <c r="AS11" s="150"/>
      <c r="AT11" s="123">
        <v>1189</v>
      </c>
      <c r="AU11" s="134">
        <v>-3938</v>
      </c>
      <c r="AV11" s="141">
        <f t="shared" si="0"/>
        <v>-3009</v>
      </c>
      <c r="AW11" s="152">
        <f t="shared" si="0"/>
        <v>-9719</v>
      </c>
      <c r="AX11" s="1345">
        <v>-341217</v>
      </c>
      <c r="AY11" s="150"/>
      <c r="AZ11" s="141">
        <f t="shared" si="1"/>
        <v>-344226</v>
      </c>
      <c r="BA11" s="142">
        <f t="shared" si="1"/>
        <v>-9719</v>
      </c>
    </row>
    <row r="12" spans="1:53" s="1301" customFormat="1" ht="14.25">
      <c r="A12" s="1296" t="s">
        <v>455</v>
      </c>
      <c r="B12" s="1287">
        <f aca="true" t="shared" si="5" ref="B12:AE12">B9</f>
        <v>4177498</v>
      </c>
      <c r="C12" s="1302">
        <f t="shared" si="5"/>
        <v>4541928</v>
      </c>
      <c r="D12" s="1287">
        <f t="shared" si="5"/>
        <v>41420</v>
      </c>
      <c r="E12" s="1302">
        <f t="shared" si="5"/>
        <v>46219</v>
      </c>
      <c r="F12" s="1287">
        <f t="shared" si="5"/>
        <v>205092</v>
      </c>
      <c r="G12" s="1297">
        <f t="shared" si="5"/>
        <v>0</v>
      </c>
      <c r="H12" s="1287">
        <f>H9+H11</f>
        <v>3029097</v>
      </c>
      <c r="I12" s="1297">
        <f t="shared" si="5"/>
        <v>3908189</v>
      </c>
      <c r="J12" s="1287">
        <f t="shared" si="5"/>
        <v>1719981</v>
      </c>
      <c r="K12" s="1302">
        <f t="shared" si="5"/>
        <v>1806429</v>
      </c>
      <c r="L12" s="1287">
        <f t="shared" si="5"/>
        <v>1850047</v>
      </c>
      <c r="M12" s="1297">
        <f t="shared" si="5"/>
        <v>2245352</v>
      </c>
      <c r="N12" s="1287">
        <f t="shared" si="5"/>
        <v>813515</v>
      </c>
      <c r="O12" s="1297">
        <f t="shared" si="5"/>
        <v>391812</v>
      </c>
      <c r="P12" s="1287">
        <f t="shared" si="5"/>
        <v>595895</v>
      </c>
      <c r="Q12" s="1297">
        <f t="shared" si="5"/>
        <v>723166</v>
      </c>
      <c r="R12" s="1287">
        <f t="shared" si="5"/>
        <v>1852772</v>
      </c>
      <c r="S12" s="1297">
        <f t="shared" si="5"/>
        <v>1903360</v>
      </c>
      <c r="T12" s="1287">
        <f t="shared" si="5"/>
        <v>509727</v>
      </c>
      <c r="U12" s="1297">
        <f t="shared" si="5"/>
        <v>513393</v>
      </c>
      <c r="V12" s="1287">
        <f t="shared" si="5"/>
        <v>11176795</v>
      </c>
      <c r="W12" s="1297">
        <f t="shared" si="5"/>
        <v>14637679</v>
      </c>
      <c r="X12" s="1287">
        <f t="shared" si="5"/>
        <v>15512890</v>
      </c>
      <c r="Y12" s="1297">
        <f t="shared" si="5"/>
        <v>15213804</v>
      </c>
      <c r="Z12" s="1287">
        <f t="shared" si="5"/>
        <v>1072405</v>
      </c>
      <c r="AA12" s="1297">
        <f t="shared" si="5"/>
        <v>757267</v>
      </c>
      <c r="AB12" s="1287">
        <f t="shared" si="5"/>
        <v>1150481</v>
      </c>
      <c r="AC12" s="1297">
        <f t="shared" si="5"/>
        <v>1504470.45</v>
      </c>
      <c r="AD12" s="1287">
        <f t="shared" si="5"/>
        <v>4747247</v>
      </c>
      <c r="AE12" s="1297">
        <f t="shared" si="5"/>
        <v>5213621</v>
      </c>
      <c r="AF12" s="1291">
        <f>SUM(AF9:AF11)</f>
        <v>9683414</v>
      </c>
      <c r="AG12" s="1299">
        <f>AG9</f>
        <v>9981661</v>
      </c>
      <c r="AH12" s="1291">
        <f>AH9</f>
        <v>2507706</v>
      </c>
      <c r="AI12" s="1353">
        <f>AI9</f>
        <v>2825637</v>
      </c>
      <c r="AJ12" s="1291">
        <f>AJ9</f>
        <v>1733563</v>
      </c>
      <c r="AK12" s="1299">
        <v>1716412</v>
      </c>
      <c r="AL12" s="1291"/>
      <c r="AM12" s="1299"/>
      <c r="AN12" s="1291">
        <f aca="true" t="shared" si="6" ref="AN12:AT12">AN9</f>
        <v>13463470</v>
      </c>
      <c r="AO12" s="1296">
        <f t="shared" si="6"/>
        <v>15662217</v>
      </c>
      <c r="AP12" s="1291">
        <f t="shared" si="6"/>
        <v>1054302</v>
      </c>
      <c r="AQ12" s="1296">
        <f t="shared" si="6"/>
        <v>1102535</v>
      </c>
      <c r="AR12" s="1291">
        <f t="shared" si="6"/>
        <v>1499865</v>
      </c>
      <c r="AS12" s="1296">
        <f t="shared" si="6"/>
        <v>1518994</v>
      </c>
      <c r="AT12" s="1291">
        <f t="shared" si="6"/>
        <v>5640378</v>
      </c>
      <c r="AU12" s="1296">
        <f>AU9+AU11</f>
        <v>7879698</v>
      </c>
      <c r="AV12" s="1291">
        <f t="shared" si="0"/>
        <v>84037560</v>
      </c>
      <c r="AW12" s="1298">
        <f t="shared" si="0"/>
        <v>94093843.45</v>
      </c>
      <c r="AX12" s="1303">
        <f>SUM(AX9:AX11)</f>
        <v>193111938</v>
      </c>
      <c r="AY12" s="1304">
        <f>SUM(AY9:AY11)</f>
        <v>0</v>
      </c>
      <c r="AZ12" s="1291">
        <f t="shared" si="1"/>
        <v>277149498</v>
      </c>
      <c r="BA12" s="1292">
        <f t="shared" si="1"/>
        <v>94093843.45</v>
      </c>
    </row>
    <row r="13" spans="1:53" s="1301" customFormat="1" ht="14.25">
      <c r="A13" s="1296" t="s">
        <v>456</v>
      </c>
      <c r="B13" s="1287">
        <v>313208</v>
      </c>
      <c r="C13" s="1285">
        <v>282448</v>
      </c>
      <c r="D13" s="1287"/>
      <c r="E13" s="1285"/>
      <c r="F13" s="1287"/>
      <c r="G13" s="1286"/>
      <c r="H13" s="1287"/>
      <c r="I13" s="1286">
        <v>286046</v>
      </c>
      <c r="J13" s="1287">
        <v>124285</v>
      </c>
      <c r="K13" s="1285">
        <v>89611</v>
      </c>
      <c r="L13" s="1287"/>
      <c r="M13" s="1286"/>
      <c r="N13" s="1287"/>
      <c r="O13" s="1286">
        <v>4224</v>
      </c>
      <c r="P13" s="1287"/>
      <c r="Q13" s="1286">
        <v>66444</v>
      </c>
      <c r="R13" s="1287"/>
      <c r="S13" s="1286">
        <v>252510</v>
      </c>
      <c r="T13" s="1287">
        <v>28362</v>
      </c>
      <c r="U13" s="1286">
        <v>18729</v>
      </c>
      <c r="V13" s="1287">
        <v>138554</v>
      </c>
      <c r="W13" s="1286">
        <v>274141</v>
      </c>
      <c r="X13" s="1287"/>
      <c r="Y13" s="1286">
        <v>646440</v>
      </c>
      <c r="Z13" s="1287"/>
      <c r="AA13" s="1286">
        <v>3615</v>
      </c>
      <c r="AB13" s="1287">
        <v>1559</v>
      </c>
      <c r="AC13" s="1286">
        <v>1761.75</v>
      </c>
      <c r="AD13" s="1287"/>
      <c r="AE13" s="1286">
        <v>285901</v>
      </c>
      <c r="AF13" s="1291">
        <v>217336</v>
      </c>
      <c r="AG13" s="1299">
        <v>262752</v>
      </c>
      <c r="AH13" s="1291"/>
      <c r="AI13" s="1299">
        <v>10831</v>
      </c>
      <c r="AJ13" s="1291">
        <v>140767</v>
      </c>
      <c r="AK13" s="1299">
        <v>110128</v>
      </c>
      <c r="AL13" s="1291"/>
      <c r="AM13" s="1299"/>
      <c r="AN13" s="1291"/>
      <c r="AO13" s="1296">
        <v>587175</v>
      </c>
      <c r="AP13" s="1291">
        <v>5020</v>
      </c>
      <c r="AQ13" s="1296">
        <v>20208</v>
      </c>
      <c r="AR13" s="1291"/>
      <c r="AS13" s="1296"/>
      <c r="AT13" s="1291"/>
      <c r="AU13" s="1296">
        <v>508397</v>
      </c>
      <c r="AV13" s="1291"/>
      <c r="AW13" s="1298"/>
      <c r="AX13" s="1303"/>
      <c r="AY13" s="1304"/>
      <c r="AZ13" s="1291"/>
      <c r="BA13" s="1292"/>
    </row>
    <row r="14" spans="1:53" s="1301" customFormat="1" ht="14.25">
      <c r="A14" s="1296" t="s">
        <v>454</v>
      </c>
      <c r="B14" s="1287">
        <v>4490706</v>
      </c>
      <c r="C14" s="1285">
        <v>4824376</v>
      </c>
      <c r="D14" s="1287"/>
      <c r="E14" s="1285"/>
      <c r="F14" s="1287"/>
      <c r="G14" s="1286"/>
      <c r="H14" s="1287"/>
      <c r="I14" s="1286">
        <v>3908189</v>
      </c>
      <c r="J14" s="1287">
        <v>1844266</v>
      </c>
      <c r="K14" s="1285">
        <v>1896040</v>
      </c>
      <c r="L14" s="1287"/>
      <c r="M14" s="1286"/>
      <c r="N14" s="1287"/>
      <c r="O14" s="1286">
        <v>396036</v>
      </c>
      <c r="P14" s="1287"/>
      <c r="Q14" s="1286">
        <v>789610</v>
      </c>
      <c r="R14" s="1287"/>
      <c r="S14" s="1286">
        <v>2155870</v>
      </c>
      <c r="T14" s="1287">
        <v>538089</v>
      </c>
      <c r="U14" s="1286">
        <v>532122</v>
      </c>
      <c r="V14" s="1287">
        <v>11315349</v>
      </c>
      <c r="W14" s="1286">
        <v>14911820</v>
      </c>
      <c r="X14" s="1287"/>
      <c r="Y14" s="1286">
        <f>Y12+Y13</f>
        <v>15860244</v>
      </c>
      <c r="Z14" s="1287"/>
      <c r="AA14" s="1286">
        <v>760882</v>
      </c>
      <c r="AB14" s="1287">
        <v>1152040.21</v>
      </c>
      <c r="AC14" s="1286">
        <v>1506232.2</v>
      </c>
      <c r="AD14" s="1287"/>
      <c r="AE14" s="1286">
        <v>5499522</v>
      </c>
      <c r="AF14" s="1291">
        <f>AF12+AF13</f>
        <v>9900750</v>
      </c>
      <c r="AG14" s="1299">
        <f>AG12+AG13</f>
        <v>10244413</v>
      </c>
      <c r="AH14" s="1291"/>
      <c r="AI14" s="1299">
        <v>2836468</v>
      </c>
      <c r="AJ14" s="1291">
        <v>1874330</v>
      </c>
      <c r="AK14" s="1299">
        <v>1826540</v>
      </c>
      <c r="AL14" s="1291"/>
      <c r="AM14" s="1299"/>
      <c r="AN14" s="1291"/>
      <c r="AO14" s="1296"/>
      <c r="AP14" s="1291">
        <v>1059321</v>
      </c>
      <c r="AQ14" s="1296">
        <v>1122742</v>
      </c>
      <c r="AR14" s="1291"/>
      <c r="AS14" s="1296"/>
      <c r="AT14" s="1291"/>
      <c r="AU14" s="1296">
        <v>8388095</v>
      </c>
      <c r="AV14" s="1291"/>
      <c r="AW14" s="1298"/>
      <c r="AX14" s="1303"/>
      <c r="AY14" s="1304"/>
      <c r="AZ14" s="1291"/>
      <c r="BA14" s="1292"/>
    </row>
    <row r="15" spans="1:53" s="176" customFormat="1" ht="14.25">
      <c r="A15" s="192" t="s">
        <v>66</v>
      </c>
      <c r="B15" s="1360"/>
      <c r="C15" s="133"/>
      <c r="D15" s="123"/>
      <c r="E15" s="125"/>
      <c r="F15" s="123"/>
      <c r="G15" s="134"/>
      <c r="H15" s="123"/>
      <c r="I15" s="134"/>
      <c r="J15" s="123"/>
      <c r="K15" s="125"/>
      <c r="L15" s="123"/>
      <c r="M15" s="134"/>
      <c r="N15" s="123"/>
      <c r="O15" s="134"/>
      <c r="P15" s="123"/>
      <c r="Q15" s="134"/>
      <c r="R15" s="123"/>
      <c r="S15" s="134"/>
      <c r="T15" s="123"/>
      <c r="U15" s="134"/>
      <c r="V15" s="123"/>
      <c r="W15" s="134"/>
      <c r="X15" s="123"/>
      <c r="Y15" s="134"/>
      <c r="Z15" s="123"/>
      <c r="AA15" s="134"/>
      <c r="AB15" s="123"/>
      <c r="AC15" s="134"/>
      <c r="AD15" s="123"/>
      <c r="AE15" s="134"/>
      <c r="AF15" s="123"/>
      <c r="AG15" s="134"/>
      <c r="AH15" s="123"/>
      <c r="AI15" s="134"/>
      <c r="AJ15" s="123"/>
      <c r="AK15" s="134"/>
      <c r="AL15" s="123"/>
      <c r="AM15" s="134"/>
      <c r="AN15" s="123"/>
      <c r="AO15" s="134"/>
      <c r="AP15" s="1349"/>
      <c r="AQ15" s="149"/>
      <c r="AR15" s="1347"/>
      <c r="AS15" s="150"/>
      <c r="AT15" s="123"/>
      <c r="AU15" s="134"/>
      <c r="AV15" s="141">
        <f aca="true" t="shared" si="7" ref="AV15:AV27">SUM(B15+D15+F15+H15+J15+L15+N15+P15+R15+T15+V15+X15+Z15+AB15+AD15+AF15+AH15+AJ15+AL15+AN15+AP15+AR15+AT15)</f>
        <v>0</v>
      </c>
      <c r="AW15" s="152">
        <f aca="true" t="shared" si="8" ref="AW15:AW27">SUM(C15+E15+G15+I15+K15+M15+O15+Q15+S15+U15+W15+Y15+AA15+AC15+AE15+AG15+AI15+AK15+AM15+AO15+AQ15+AS15+AU15)</f>
        <v>0</v>
      </c>
      <c r="AX15" s="1345"/>
      <c r="AY15" s="150"/>
      <c r="AZ15" s="141">
        <f aca="true" t="shared" si="9" ref="AZ15:AZ27">AV15+AX15</f>
        <v>0</v>
      </c>
      <c r="BA15" s="142">
        <f aca="true" t="shared" si="10" ref="BA15:BA27">AW15+AY15</f>
        <v>0</v>
      </c>
    </row>
    <row r="16" spans="1:53" s="176" customFormat="1" ht="14.25">
      <c r="A16" s="192" t="s">
        <v>67</v>
      </c>
      <c r="B16" s="1360"/>
      <c r="C16" s="133"/>
      <c r="D16" s="123"/>
      <c r="E16" s="125"/>
      <c r="F16" s="123"/>
      <c r="G16" s="134"/>
      <c r="H16" s="123"/>
      <c r="I16" s="134"/>
      <c r="J16" s="123"/>
      <c r="K16" s="125"/>
      <c r="L16" s="123"/>
      <c r="M16" s="134"/>
      <c r="N16" s="123"/>
      <c r="O16" s="134"/>
      <c r="P16" s="123"/>
      <c r="Q16" s="134"/>
      <c r="R16" s="123"/>
      <c r="S16" s="134"/>
      <c r="T16" s="123"/>
      <c r="U16" s="134"/>
      <c r="V16" s="123"/>
      <c r="W16" s="134"/>
      <c r="X16" s="123"/>
      <c r="Y16" s="134"/>
      <c r="Z16" s="123"/>
      <c r="AA16" s="134"/>
      <c r="AB16" s="123"/>
      <c r="AC16" s="134"/>
      <c r="AD16" s="123"/>
      <c r="AE16" s="134"/>
      <c r="AF16" s="123"/>
      <c r="AG16" s="134"/>
      <c r="AH16" s="123"/>
      <c r="AI16" s="134"/>
      <c r="AJ16" s="123"/>
      <c r="AK16" s="134"/>
      <c r="AL16" s="123"/>
      <c r="AM16" s="134"/>
      <c r="AN16" s="123"/>
      <c r="AO16" s="134"/>
      <c r="AP16" s="1349"/>
      <c r="AQ16" s="149"/>
      <c r="AR16" s="1347"/>
      <c r="AS16" s="150"/>
      <c r="AT16" s="123"/>
      <c r="AU16" s="134"/>
      <c r="AV16" s="141">
        <f t="shared" si="7"/>
        <v>0</v>
      </c>
      <c r="AW16" s="152">
        <f t="shared" si="8"/>
        <v>0</v>
      </c>
      <c r="AX16" s="1345"/>
      <c r="AY16" s="150"/>
      <c r="AZ16" s="141">
        <f t="shared" si="9"/>
        <v>0</v>
      </c>
      <c r="BA16" s="142">
        <f t="shared" si="10"/>
        <v>0</v>
      </c>
    </row>
    <row r="17" spans="1:53" s="176" customFormat="1" ht="14.25">
      <c r="A17" s="191" t="s">
        <v>68</v>
      </c>
      <c r="B17" s="1361">
        <v>2069969</v>
      </c>
      <c r="C17" s="1363">
        <v>2079289</v>
      </c>
      <c r="D17" s="141">
        <v>13592</v>
      </c>
      <c r="E17" s="145">
        <v>4832</v>
      </c>
      <c r="F17" s="141">
        <v>177751</v>
      </c>
      <c r="G17" s="146"/>
      <c r="H17" s="141">
        <v>2195003</v>
      </c>
      <c r="I17" s="146">
        <v>2275032</v>
      </c>
      <c r="J17" s="141">
        <v>743813</v>
      </c>
      <c r="K17" s="145">
        <v>754246</v>
      </c>
      <c r="L17" s="141"/>
      <c r="M17" s="146">
        <v>1178</v>
      </c>
      <c r="N17" s="141">
        <v>283801</v>
      </c>
      <c r="O17" s="146">
        <v>233109</v>
      </c>
      <c r="P17" s="141">
        <v>438524</v>
      </c>
      <c r="Q17" s="146">
        <v>578326</v>
      </c>
      <c r="R17" s="141">
        <v>1164761</v>
      </c>
      <c r="S17" s="146">
        <v>1222268</v>
      </c>
      <c r="T17" s="141">
        <v>185900</v>
      </c>
      <c r="U17" s="146">
        <v>147213</v>
      </c>
      <c r="V17" s="141">
        <v>1864526</v>
      </c>
      <c r="W17" s="146">
        <v>2772227</v>
      </c>
      <c r="X17" s="141">
        <v>3365779</v>
      </c>
      <c r="Y17" s="146">
        <v>3815137</v>
      </c>
      <c r="Z17" s="1355">
        <v>91311</v>
      </c>
      <c r="AA17" s="820">
        <v>52948</v>
      </c>
      <c r="AB17" s="141">
        <v>51388</v>
      </c>
      <c r="AC17" s="146">
        <v>74019.83</v>
      </c>
      <c r="AD17" s="1354">
        <v>2234523</v>
      </c>
      <c r="AE17" s="821">
        <v>2438593</v>
      </c>
      <c r="AF17" s="141">
        <v>3604784</v>
      </c>
      <c r="AG17" s="146">
        <v>2657023</v>
      </c>
      <c r="AH17" s="141">
        <v>232915</v>
      </c>
      <c r="AI17" s="146">
        <v>278354</v>
      </c>
      <c r="AJ17" s="141">
        <v>1372115</v>
      </c>
      <c r="AK17" s="146">
        <v>1374657</v>
      </c>
      <c r="AL17" s="123"/>
      <c r="AM17" s="134"/>
      <c r="AN17" s="1351">
        <v>5023714</v>
      </c>
      <c r="AO17" s="191">
        <v>5550330</v>
      </c>
      <c r="AP17" s="1349">
        <v>178136</v>
      </c>
      <c r="AQ17" s="149">
        <v>170291</v>
      </c>
      <c r="AR17" s="1347">
        <v>15108</v>
      </c>
      <c r="AS17" s="150">
        <v>10017</v>
      </c>
      <c r="AT17" s="141">
        <v>2173313</v>
      </c>
      <c r="AU17" s="146">
        <v>2653686</v>
      </c>
      <c r="AV17" s="141">
        <f t="shared" si="7"/>
        <v>27480726</v>
      </c>
      <c r="AW17" s="152">
        <f t="shared" si="8"/>
        <v>29142775.83</v>
      </c>
      <c r="AX17" s="151">
        <v>192169567</v>
      </c>
      <c r="AY17" s="146"/>
      <c r="AZ17" s="141">
        <f t="shared" si="9"/>
        <v>219650293</v>
      </c>
      <c r="BA17" s="142">
        <f t="shared" si="10"/>
        <v>29142775.83</v>
      </c>
    </row>
    <row r="18" spans="1:53" s="176" customFormat="1" ht="14.25">
      <c r="A18" s="191" t="s">
        <v>6</v>
      </c>
      <c r="B18" s="1360">
        <v>265759</v>
      </c>
      <c r="C18" s="133">
        <v>221653</v>
      </c>
      <c r="D18" s="123">
        <v>8447</v>
      </c>
      <c r="E18" s="125">
        <v>19822</v>
      </c>
      <c r="F18" s="123">
        <v>17396</v>
      </c>
      <c r="G18" s="134"/>
      <c r="H18" s="123">
        <v>126130</v>
      </c>
      <c r="I18" s="134">
        <v>160918</v>
      </c>
      <c r="J18" s="123">
        <v>899891</v>
      </c>
      <c r="K18" s="125">
        <v>883005</v>
      </c>
      <c r="L18" s="123">
        <v>1200</v>
      </c>
      <c r="M18" s="134">
        <v>2293</v>
      </c>
      <c r="N18" s="123">
        <v>93748</v>
      </c>
      <c r="O18" s="134">
        <v>3814</v>
      </c>
      <c r="P18" s="123">
        <v>31927</v>
      </c>
      <c r="Q18" s="134">
        <v>67101</v>
      </c>
      <c r="R18" s="123">
        <v>468614</v>
      </c>
      <c r="S18" s="134">
        <v>699510</v>
      </c>
      <c r="T18" s="123">
        <v>48830</v>
      </c>
      <c r="U18" s="134">
        <v>35405</v>
      </c>
      <c r="V18" s="123">
        <v>597484</v>
      </c>
      <c r="W18" s="134">
        <v>1491608</v>
      </c>
      <c r="X18" s="123">
        <v>774002</v>
      </c>
      <c r="Y18" s="134">
        <v>887254</v>
      </c>
      <c r="Z18" s="1355">
        <v>3671</v>
      </c>
      <c r="AA18" s="820">
        <v>1541</v>
      </c>
      <c r="AB18" s="123">
        <v>66487</v>
      </c>
      <c r="AC18" s="134">
        <v>43240.23</v>
      </c>
      <c r="AD18" s="123">
        <v>205800</v>
      </c>
      <c r="AE18" s="134">
        <v>258154</v>
      </c>
      <c r="AF18" s="123">
        <v>12767</v>
      </c>
      <c r="AG18" s="134">
        <v>42755</v>
      </c>
      <c r="AH18" s="123">
        <v>70017</v>
      </c>
      <c r="AI18" s="134">
        <v>166387</v>
      </c>
      <c r="AJ18" s="123">
        <v>280872</v>
      </c>
      <c r="AK18" s="134">
        <v>235719</v>
      </c>
      <c r="AL18" s="123"/>
      <c r="AM18" s="134"/>
      <c r="AN18" s="1351">
        <v>37454</v>
      </c>
      <c r="AO18" s="191">
        <v>46952</v>
      </c>
      <c r="AP18" s="1349">
        <v>66551</v>
      </c>
      <c r="AQ18" s="149">
        <v>83757</v>
      </c>
      <c r="AR18" s="1347">
        <v>2286</v>
      </c>
      <c r="AS18" s="150">
        <v>966</v>
      </c>
      <c r="AT18" s="123">
        <v>453200</v>
      </c>
      <c r="AU18" s="134">
        <v>571034</v>
      </c>
      <c r="AV18" s="141">
        <f t="shared" si="7"/>
        <v>4532533</v>
      </c>
      <c r="AW18" s="152">
        <f t="shared" si="8"/>
        <v>5922888.23</v>
      </c>
      <c r="AX18" s="148">
        <v>21373</v>
      </c>
      <c r="AY18" s="134"/>
      <c r="AZ18" s="141">
        <f t="shared" si="9"/>
        <v>4553906</v>
      </c>
      <c r="BA18" s="142">
        <f t="shared" si="10"/>
        <v>5922888.23</v>
      </c>
    </row>
    <row r="19" spans="1:53" s="176" customFormat="1" ht="14.25">
      <c r="A19" s="191" t="s">
        <v>69</v>
      </c>
      <c r="B19" s="1360">
        <v>1841770</v>
      </c>
      <c r="C19" s="133">
        <v>2240986</v>
      </c>
      <c r="D19" s="123">
        <v>18283</v>
      </c>
      <c r="E19" s="125">
        <v>18182</v>
      </c>
      <c r="F19" s="123">
        <v>-31975</v>
      </c>
      <c r="G19" s="134"/>
      <c r="H19" s="123">
        <v>682232</v>
      </c>
      <c r="I19" s="134">
        <v>1372337</v>
      </c>
      <c r="J19" s="123">
        <v>200562</v>
      </c>
      <c r="K19" s="125">
        <v>258789</v>
      </c>
      <c r="L19" s="123">
        <v>9169</v>
      </c>
      <c r="M19" s="134">
        <v>12079</v>
      </c>
      <c r="N19" s="123">
        <v>384657</v>
      </c>
      <c r="O19" s="134">
        <v>136418</v>
      </c>
      <c r="P19" s="123">
        <v>125444</v>
      </c>
      <c r="Q19" s="134">
        <v>144139</v>
      </c>
      <c r="R19" s="123">
        <v>114528</v>
      </c>
      <c r="S19" s="134">
        <v>105406</v>
      </c>
      <c r="T19" s="123">
        <v>274997</v>
      </c>
      <c r="U19" s="134">
        <v>304343</v>
      </c>
      <c r="V19" s="123">
        <v>8699274</v>
      </c>
      <c r="W19" s="134">
        <v>10630848</v>
      </c>
      <c r="X19" s="123">
        <v>11278679</v>
      </c>
      <c r="Y19" s="134">
        <v>10278133</v>
      </c>
      <c r="Z19" s="1355">
        <v>977422</v>
      </c>
      <c r="AA19" s="820">
        <v>702778</v>
      </c>
      <c r="AB19" s="123">
        <v>1030578</v>
      </c>
      <c r="AC19" s="134">
        <v>1387693.85</v>
      </c>
      <c r="AD19" s="123">
        <v>2306431</v>
      </c>
      <c r="AE19" s="134">
        <v>2516449</v>
      </c>
      <c r="AF19" s="123">
        <v>211388</v>
      </c>
      <c r="AG19" s="134">
        <v>213880</v>
      </c>
      <c r="AH19" s="123">
        <v>2205243</v>
      </c>
      <c r="AI19" s="134">
        <v>2391727</v>
      </c>
      <c r="AJ19" s="123">
        <v>221343</v>
      </c>
      <c r="AK19" s="134">
        <v>215960</v>
      </c>
      <c r="AL19" s="123"/>
      <c r="AM19" s="134"/>
      <c r="AN19" s="1351">
        <v>137878</v>
      </c>
      <c r="AO19" s="191">
        <v>288926</v>
      </c>
      <c r="AP19" s="1349">
        <v>814635</v>
      </c>
      <c r="AQ19" s="149">
        <v>868694</v>
      </c>
      <c r="AR19" s="1347"/>
      <c r="AS19" s="150"/>
      <c r="AT19" s="123">
        <v>60787</v>
      </c>
      <c r="AU19" s="134">
        <v>91265</v>
      </c>
      <c r="AV19" s="141">
        <f t="shared" si="7"/>
        <v>31563325</v>
      </c>
      <c r="AW19" s="152">
        <f t="shared" si="8"/>
        <v>34179032.85</v>
      </c>
      <c r="AX19" s="148">
        <v>171732</v>
      </c>
      <c r="AY19" s="134"/>
      <c r="AZ19" s="141">
        <f t="shared" si="9"/>
        <v>31735057</v>
      </c>
      <c r="BA19" s="142">
        <f t="shared" si="10"/>
        <v>34179032.85</v>
      </c>
    </row>
    <row r="20" spans="1:53" s="176" customFormat="1" ht="14.25">
      <c r="A20" s="191" t="s">
        <v>70</v>
      </c>
      <c r="B20" s="1360"/>
      <c r="C20" s="133"/>
      <c r="D20" s="123"/>
      <c r="E20" s="125"/>
      <c r="F20" s="123"/>
      <c r="G20" s="134"/>
      <c r="H20" s="123"/>
      <c r="I20" s="134"/>
      <c r="J20" s="123"/>
      <c r="K20" s="125"/>
      <c r="L20" s="123">
        <v>1839634</v>
      </c>
      <c r="M20" s="134">
        <v>2227145</v>
      </c>
      <c r="N20" s="123">
        <v>43696</v>
      </c>
      <c r="O20" s="134"/>
      <c r="P20" s="123"/>
      <c r="Q20" s="134"/>
      <c r="R20" s="123">
        <v>94739</v>
      </c>
      <c r="S20" s="134">
        <v>117788</v>
      </c>
      <c r="T20" s="123"/>
      <c r="U20" s="134"/>
      <c r="V20" s="123"/>
      <c r="W20" s="134"/>
      <c r="X20" s="123"/>
      <c r="Y20" s="134"/>
      <c r="Z20" s="1355"/>
      <c r="AA20" s="820"/>
      <c r="AB20" s="123"/>
      <c r="AC20" s="134"/>
      <c r="AD20" s="123"/>
      <c r="AE20" s="134"/>
      <c r="AF20" s="123">
        <v>6059476</v>
      </c>
      <c r="AG20" s="134">
        <v>7330755</v>
      </c>
      <c r="AH20" s="123"/>
      <c r="AI20" s="134"/>
      <c r="AJ20" s="123"/>
      <c r="AK20" s="134"/>
      <c r="AL20" s="123"/>
      <c r="AM20" s="134"/>
      <c r="AN20" s="1351">
        <v>8261773</v>
      </c>
      <c r="AO20" s="191">
        <v>9771801</v>
      </c>
      <c r="AP20" s="1349"/>
      <c r="AQ20" s="149"/>
      <c r="AR20" s="1347">
        <v>1482471</v>
      </c>
      <c r="AS20" s="150">
        <v>1508011</v>
      </c>
      <c r="AT20" s="123">
        <v>2953078</v>
      </c>
      <c r="AU20" s="134">
        <v>4327507</v>
      </c>
      <c r="AV20" s="141">
        <f t="shared" si="7"/>
        <v>20734867</v>
      </c>
      <c r="AW20" s="152">
        <f t="shared" si="8"/>
        <v>25283007</v>
      </c>
      <c r="AX20" s="148">
        <v>1085372</v>
      </c>
      <c r="AY20" s="134"/>
      <c r="AZ20" s="141">
        <f t="shared" si="9"/>
        <v>21820239</v>
      </c>
      <c r="BA20" s="142">
        <f t="shared" si="10"/>
        <v>25283007</v>
      </c>
    </row>
    <row r="21" spans="1:53" s="176" customFormat="1" ht="14.25">
      <c r="A21" s="191" t="s">
        <v>71</v>
      </c>
      <c r="B21" s="1360"/>
      <c r="C21" s="133"/>
      <c r="D21" s="123"/>
      <c r="E21" s="125"/>
      <c r="F21" s="123"/>
      <c r="G21" s="134"/>
      <c r="H21" s="123">
        <v>29930</v>
      </c>
      <c r="I21" s="134">
        <v>99902</v>
      </c>
      <c r="J21" s="123"/>
      <c r="K21" s="125"/>
      <c r="L21" s="123"/>
      <c r="M21" s="134"/>
      <c r="N21" s="123">
        <v>5500</v>
      </c>
      <c r="O21" s="134">
        <v>18027</v>
      </c>
      <c r="P21" s="123"/>
      <c r="Q21" s="134"/>
      <c r="R21" s="123"/>
      <c r="S21" s="134"/>
      <c r="T21" s="123"/>
      <c r="U21" s="134"/>
      <c r="V21" s="123">
        <v>4347</v>
      </c>
      <c r="W21" s="134">
        <v>5888</v>
      </c>
      <c r="X21" s="1357"/>
      <c r="Y21" s="135"/>
      <c r="Z21" s="1355"/>
      <c r="AA21" s="820"/>
      <c r="AB21" s="123"/>
      <c r="AC21" s="134"/>
      <c r="AD21" s="123"/>
      <c r="AE21" s="134"/>
      <c r="AF21" s="123"/>
      <c r="AG21" s="134"/>
      <c r="AH21" s="123"/>
      <c r="AI21" s="134"/>
      <c r="AJ21" s="123"/>
      <c r="AK21" s="134"/>
      <c r="AL21" s="123"/>
      <c r="AM21" s="134"/>
      <c r="AN21" s="123"/>
      <c r="AO21" s="134"/>
      <c r="AP21" s="1349"/>
      <c r="AQ21" s="149"/>
      <c r="AR21" s="1347"/>
      <c r="AS21" s="150"/>
      <c r="AT21" s="123"/>
      <c r="AU21" s="134"/>
      <c r="AV21" s="141">
        <f t="shared" si="7"/>
        <v>39777</v>
      </c>
      <c r="AW21" s="152">
        <f t="shared" si="8"/>
        <v>123817</v>
      </c>
      <c r="AX21" s="148"/>
      <c r="AY21" s="134"/>
      <c r="AZ21" s="141">
        <f t="shared" si="9"/>
        <v>39777</v>
      </c>
      <c r="BA21" s="142">
        <f t="shared" si="10"/>
        <v>123817</v>
      </c>
    </row>
    <row r="22" spans="1:53" s="176" customFormat="1" ht="14.25">
      <c r="A22" s="191" t="s">
        <v>15</v>
      </c>
      <c r="B22" s="1361"/>
      <c r="C22" s="1363"/>
      <c r="D22" s="141"/>
      <c r="E22" s="145"/>
      <c r="F22" s="141"/>
      <c r="G22" s="146"/>
      <c r="H22" s="141"/>
      <c r="I22" s="146"/>
      <c r="J22" s="141"/>
      <c r="K22" s="145"/>
      <c r="L22" s="141"/>
      <c r="M22" s="146"/>
      <c r="N22" s="141"/>
      <c r="O22" s="146"/>
      <c r="P22" s="141"/>
      <c r="Q22" s="146"/>
      <c r="R22" s="141"/>
      <c r="S22" s="146"/>
      <c r="T22" s="141"/>
      <c r="U22" s="146"/>
      <c r="V22" s="141"/>
      <c r="W22" s="146"/>
      <c r="X22" s="141"/>
      <c r="Y22" s="146"/>
      <c r="Z22" s="1355"/>
      <c r="AA22" s="820"/>
      <c r="AB22" s="141">
        <v>2029</v>
      </c>
      <c r="AC22" s="146">
        <v>1278.29</v>
      </c>
      <c r="AD22" s="1354"/>
      <c r="AE22" s="821"/>
      <c r="AF22" s="141"/>
      <c r="AG22" s="146"/>
      <c r="AH22" s="141"/>
      <c r="AI22" s="146"/>
      <c r="AJ22" s="141"/>
      <c r="AK22" s="146"/>
      <c r="AL22" s="123"/>
      <c r="AM22" s="134"/>
      <c r="AN22" s="1351">
        <v>-1</v>
      </c>
      <c r="AO22" s="191"/>
      <c r="AP22" s="1349"/>
      <c r="AQ22" s="149"/>
      <c r="AR22" s="1347"/>
      <c r="AS22" s="150"/>
      <c r="AT22" s="141"/>
      <c r="AU22" s="146"/>
      <c r="AV22" s="141">
        <f t="shared" si="7"/>
        <v>2028</v>
      </c>
      <c r="AW22" s="152">
        <f t="shared" si="8"/>
        <v>1278.29</v>
      </c>
      <c r="AX22" s="151"/>
      <c r="AY22" s="146"/>
      <c r="AZ22" s="141">
        <f t="shared" si="9"/>
        <v>2028</v>
      </c>
      <c r="BA22" s="142">
        <f t="shared" si="10"/>
        <v>1278.29</v>
      </c>
    </row>
    <row r="23" spans="1:53" s="176" customFormat="1" ht="14.25">
      <c r="A23" s="191" t="s">
        <v>17</v>
      </c>
      <c r="B23" s="1360"/>
      <c r="C23" s="133"/>
      <c r="D23" s="123"/>
      <c r="E23" s="125"/>
      <c r="F23" s="123">
        <v>42318</v>
      </c>
      <c r="G23" s="134"/>
      <c r="H23" s="123"/>
      <c r="I23" s="134"/>
      <c r="J23" s="123"/>
      <c r="K23" s="125"/>
      <c r="L23" s="123"/>
      <c r="M23" s="134"/>
      <c r="N23" s="123"/>
      <c r="O23" s="134"/>
      <c r="P23" s="123"/>
      <c r="Q23" s="134"/>
      <c r="R23" s="123">
        <v>2288</v>
      </c>
      <c r="S23" s="134">
        <v>150</v>
      </c>
      <c r="T23" s="123"/>
      <c r="U23" s="134">
        <v>26248</v>
      </c>
      <c r="V23" s="123">
        <v>3165</v>
      </c>
      <c r="W23" s="134">
        <v>11249</v>
      </c>
      <c r="X23" s="123">
        <v>8773</v>
      </c>
      <c r="Y23" s="134">
        <v>14493</v>
      </c>
      <c r="Z23" s="1355"/>
      <c r="AA23" s="820"/>
      <c r="AB23" s="123"/>
      <c r="AC23" s="134"/>
      <c r="AD23" s="123"/>
      <c r="AE23" s="134"/>
      <c r="AF23" s="123"/>
      <c r="AG23" s="134"/>
      <c r="AH23" s="123"/>
      <c r="AI23" s="134"/>
      <c r="AJ23" s="123"/>
      <c r="AK23" s="134"/>
      <c r="AL23" s="123"/>
      <c r="AM23" s="134"/>
      <c r="AN23" s="1351">
        <v>814</v>
      </c>
      <c r="AO23" s="191">
        <v>391</v>
      </c>
      <c r="AP23" s="1349"/>
      <c r="AQ23" s="149"/>
      <c r="AR23" s="1347"/>
      <c r="AS23" s="150"/>
      <c r="AT23" s="123"/>
      <c r="AU23" s="134"/>
      <c r="AV23" s="141">
        <f t="shared" si="7"/>
        <v>57358</v>
      </c>
      <c r="AW23" s="152">
        <f t="shared" si="8"/>
        <v>52531</v>
      </c>
      <c r="AX23" s="1345">
        <v>5110</v>
      </c>
      <c r="AY23" s="150"/>
      <c r="AZ23" s="141">
        <f t="shared" si="9"/>
        <v>62468</v>
      </c>
      <c r="BA23" s="142">
        <f t="shared" si="10"/>
        <v>52531</v>
      </c>
    </row>
    <row r="24" spans="1:53" s="176" customFormat="1" ht="14.25">
      <c r="A24" s="191" t="s">
        <v>72</v>
      </c>
      <c r="B24" s="1360"/>
      <c r="C24" s="133"/>
      <c r="D24" s="123">
        <v>1098</v>
      </c>
      <c r="E24" s="125">
        <v>3383</v>
      </c>
      <c r="F24" s="123"/>
      <c r="G24" s="134"/>
      <c r="H24" s="123"/>
      <c r="I24" s="134"/>
      <c r="J24" s="123"/>
      <c r="K24" s="125"/>
      <c r="L24" s="123">
        <v>44</v>
      </c>
      <c r="M24" s="134">
        <v>2657</v>
      </c>
      <c r="N24" s="123"/>
      <c r="O24" s="134"/>
      <c r="P24" s="123"/>
      <c r="Q24" s="134">
        <v>44</v>
      </c>
      <c r="R24" s="123"/>
      <c r="S24" s="134"/>
      <c r="T24" s="123"/>
      <c r="U24" s="134">
        <v>184</v>
      </c>
      <c r="V24" s="123">
        <v>7999</v>
      </c>
      <c r="W24" s="134"/>
      <c r="X24" s="123">
        <v>85657</v>
      </c>
      <c r="Y24" s="134">
        <v>218787</v>
      </c>
      <c r="Z24" s="1355"/>
      <c r="AA24" s="820"/>
      <c r="AB24" s="123"/>
      <c r="AC24" s="134"/>
      <c r="AD24" s="123"/>
      <c r="AE24" s="134"/>
      <c r="AF24" s="123"/>
      <c r="AG24" s="134"/>
      <c r="AH24" s="123"/>
      <c r="AI24" s="134"/>
      <c r="AJ24" s="123"/>
      <c r="AK24" s="134"/>
      <c r="AL24" s="123"/>
      <c r="AM24" s="134"/>
      <c r="AN24" s="1351">
        <v>1837</v>
      </c>
      <c r="AO24" s="191">
        <v>3817</v>
      </c>
      <c r="AP24" s="1349"/>
      <c r="AQ24" s="149"/>
      <c r="AR24" s="1347"/>
      <c r="AS24" s="150"/>
      <c r="AT24" s="123"/>
      <c r="AU24" s="134">
        <v>240144</v>
      </c>
      <c r="AV24" s="141">
        <f t="shared" si="7"/>
        <v>96635</v>
      </c>
      <c r="AW24" s="152">
        <f t="shared" si="8"/>
        <v>469016</v>
      </c>
      <c r="AX24" s="1345"/>
      <c r="AY24" s="150"/>
      <c r="AZ24" s="141">
        <f t="shared" si="9"/>
        <v>96635</v>
      </c>
      <c r="BA24" s="142">
        <f t="shared" si="10"/>
        <v>469016</v>
      </c>
    </row>
    <row r="25" spans="1:53" s="176" customFormat="1" ht="14.25">
      <c r="A25" s="191" t="s">
        <v>73</v>
      </c>
      <c r="B25" s="1362"/>
      <c r="C25" s="1364"/>
      <c r="D25" s="162"/>
      <c r="E25" s="158"/>
      <c r="F25" s="162">
        <v>-398</v>
      </c>
      <c r="G25" s="163"/>
      <c r="H25" s="162"/>
      <c r="I25" s="163"/>
      <c r="J25" s="162"/>
      <c r="K25" s="158"/>
      <c r="L25" s="162"/>
      <c r="M25" s="163"/>
      <c r="N25" s="162">
        <v>2113</v>
      </c>
      <c r="O25" s="163">
        <v>444</v>
      </c>
      <c r="P25" s="162"/>
      <c r="Q25" s="163"/>
      <c r="R25" s="162">
        <v>7606</v>
      </c>
      <c r="S25" s="163">
        <v>8427</v>
      </c>
      <c r="T25" s="162"/>
      <c r="U25" s="163"/>
      <c r="V25" s="162"/>
      <c r="W25" s="163"/>
      <c r="X25" s="162"/>
      <c r="Y25" s="163"/>
      <c r="Z25" s="1356"/>
      <c r="AA25" s="822"/>
      <c r="AB25" s="162"/>
      <c r="AC25" s="163"/>
      <c r="AD25" s="162">
        <v>493</v>
      </c>
      <c r="AE25" s="163">
        <v>425</v>
      </c>
      <c r="AF25" s="162"/>
      <c r="AG25" s="163"/>
      <c r="AH25" s="162">
        <v>-469</v>
      </c>
      <c r="AI25" s="163"/>
      <c r="AJ25" s="162"/>
      <c r="AK25" s="163"/>
      <c r="AL25" s="162"/>
      <c r="AM25" s="163"/>
      <c r="AN25" s="1352"/>
      <c r="AO25" s="823"/>
      <c r="AP25" s="1350"/>
      <c r="AQ25" s="164"/>
      <c r="AR25" s="1348"/>
      <c r="AS25" s="165"/>
      <c r="AT25" s="162"/>
      <c r="AU25" s="163"/>
      <c r="AV25" s="141">
        <f t="shared" si="7"/>
        <v>9345</v>
      </c>
      <c r="AW25" s="152">
        <f t="shared" si="8"/>
        <v>9296</v>
      </c>
      <c r="AX25" s="1346"/>
      <c r="AY25" s="165"/>
      <c r="AZ25" s="141">
        <f t="shared" si="9"/>
        <v>9345</v>
      </c>
      <c r="BA25" s="142">
        <f t="shared" si="10"/>
        <v>9296</v>
      </c>
    </row>
    <row r="26" spans="1:53" s="176" customFormat="1" ht="15" thickBot="1">
      <c r="A26" s="823" t="s">
        <v>74</v>
      </c>
      <c r="B26" s="1362"/>
      <c r="C26" s="1365"/>
      <c r="D26" s="162"/>
      <c r="E26" s="824"/>
      <c r="F26" s="162"/>
      <c r="G26" s="825"/>
      <c r="H26" s="162"/>
      <c r="I26" s="825"/>
      <c r="J26" s="162"/>
      <c r="K26" s="158"/>
      <c r="L26" s="162"/>
      <c r="M26" s="163"/>
      <c r="N26" s="162"/>
      <c r="O26" s="163"/>
      <c r="P26" s="162"/>
      <c r="Q26" s="163"/>
      <c r="R26" s="162">
        <v>235</v>
      </c>
      <c r="S26" s="163">
        <v>2321</v>
      </c>
      <c r="T26" s="162"/>
      <c r="U26" s="163"/>
      <c r="V26" s="162"/>
      <c r="W26" s="163"/>
      <c r="X26" s="162"/>
      <c r="Y26" s="163"/>
      <c r="Z26" s="1356"/>
      <c r="AA26" s="822"/>
      <c r="AB26" s="162"/>
      <c r="AC26" s="163"/>
      <c r="AD26" s="162"/>
      <c r="AE26" s="163"/>
      <c r="AF26" s="162"/>
      <c r="AG26" s="163"/>
      <c r="AH26" s="162"/>
      <c r="AI26" s="163"/>
      <c r="AJ26" s="162"/>
      <c r="AK26" s="163"/>
      <c r="AL26" s="162"/>
      <c r="AM26" s="163"/>
      <c r="AN26" s="1352"/>
      <c r="AO26" s="823"/>
      <c r="AP26" s="1350"/>
      <c r="AQ26" s="164"/>
      <c r="AR26" s="1348"/>
      <c r="AS26" s="165"/>
      <c r="AT26" s="162"/>
      <c r="AU26" s="163"/>
      <c r="AV26" s="166">
        <f t="shared" si="7"/>
        <v>235</v>
      </c>
      <c r="AW26" s="168">
        <f t="shared" si="8"/>
        <v>2321</v>
      </c>
      <c r="AX26" s="1346"/>
      <c r="AY26" s="165"/>
      <c r="AZ26" s="166">
        <f t="shared" si="9"/>
        <v>235</v>
      </c>
      <c r="BA26" s="827">
        <f t="shared" si="10"/>
        <v>2321</v>
      </c>
    </row>
    <row r="27" spans="1:53" s="826" customFormat="1" ht="15" thickBot="1">
      <c r="A27" s="838" t="s">
        <v>54</v>
      </c>
      <c r="B27" s="828">
        <f aca="true" t="shared" si="11" ref="B27:H27">SUM(B17:B25)</f>
        <v>4177498</v>
      </c>
      <c r="C27" s="830">
        <f t="shared" si="11"/>
        <v>4541928</v>
      </c>
      <c r="D27" s="828">
        <f t="shared" si="11"/>
        <v>41420</v>
      </c>
      <c r="E27" s="830">
        <f t="shared" si="11"/>
        <v>46219</v>
      </c>
      <c r="F27" s="828">
        <f t="shared" si="11"/>
        <v>205092</v>
      </c>
      <c r="G27" s="829">
        <f t="shared" si="11"/>
        <v>0</v>
      </c>
      <c r="H27" s="828">
        <f t="shared" si="11"/>
        <v>3033295</v>
      </c>
      <c r="I27" s="829">
        <f>SUM(I17:I26)</f>
        <v>3908189</v>
      </c>
      <c r="J27" s="828">
        <f aca="true" t="shared" si="12" ref="J27:AM27">SUM(J17:J26)</f>
        <v>1844266</v>
      </c>
      <c r="K27" s="830">
        <f t="shared" si="12"/>
        <v>1896040</v>
      </c>
      <c r="L27" s="828">
        <f t="shared" si="12"/>
        <v>1850047</v>
      </c>
      <c r="M27" s="829">
        <f t="shared" si="12"/>
        <v>2245352</v>
      </c>
      <c r="N27" s="828">
        <f t="shared" si="12"/>
        <v>813515</v>
      </c>
      <c r="O27" s="829">
        <f t="shared" si="12"/>
        <v>391812</v>
      </c>
      <c r="P27" s="828">
        <f t="shared" si="12"/>
        <v>595895</v>
      </c>
      <c r="Q27" s="829">
        <f t="shared" si="12"/>
        <v>789610</v>
      </c>
      <c r="R27" s="828">
        <f t="shared" si="12"/>
        <v>1852771</v>
      </c>
      <c r="S27" s="829">
        <f t="shared" si="12"/>
        <v>2155870</v>
      </c>
      <c r="T27" s="828">
        <f t="shared" si="12"/>
        <v>509727</v>
      </c>
      <c r="U27" s="829">
        <f t="shared" si="12"/>
        <v>513393</v>
      </c>
      <c r="V27" s="828">
        <f t="shared" si="12"/>
        <v>11176795</v>
      </c>
      <c r="W27" s="829">
        <f t="shared" si="12"/>
        <v>14911820</v>
      </c>
      <c r="X27" s="828">
        <f t="shared" si="12"/>
        <v>15512890</v>
      </c>
      <c r="Y27" s="829">
        <f t="shared" si="12"/>
        <v>15213804</v>
      </c>
      <c r="Z27" s="828">
        <f t="shared" si="12"/>
        <v>1072404</v>
      </c>
      <c r="AA27" s="829">
        <f t="shared" si="12"/>
        <v>757267</v>
      </c>
      <c r="AB27" s="828">
        <f t="shared" si="12"/>
        <v>1150482</v>
      </c>
      <c r="AC27" s="829">
        <f t="shared" si="12"/>
        <v>1506232.2000000002</v>
      </c>
      <c r="AD27" s="828">
        <f t="shared" si="12"/>
        <v>4747247</v>
      </c>
      <c r="AE27" s="829">
        <f t="shared" si="12"/>
        <v>5213621</v>
      </c>
      <c r="AF27" s="828">
        <f t="shared" si="12"/>
        <v>9888415</v>
      </c>
      <c r="AG27" s="829">
        <f t="shared" si="12"/>
        <v>10244413</v>
      </c>
      <c r="AH27" s="828">
        <f t="shared" si="12"/>
        <v>2507706</v>
      </c>
      <c r="AI27" s="829">
        <f t="shared" si="12"/>
        <v>2836468</v>
      </c>
      <c r="AJ27" s="828">
        <f t="shared" si="12"/>
        <v>1874330</v>
      </c>
      <c r="AK27" s="829">
        <f t="shared" si="12"/>
        <v>1826336</v>
      </c>
      <c r="AL27" s="828">
        <f t="shared" si="12"/>
        <v>0</v>
      </c>
      <c r="AM27" s="829">
        <f t="shared" si="12"/>
        <v>0</v>
      </c>
      <c r="AN27" s="833">
        <f aca="true" t="shared" si="13" ref="AN27:AU27">SUM(AN17:AN26)</f>
        <v>13463469</v>
      </c>
      <c r="AO27" s="832">
        <f t="shared" si="13"/>
        <v>15662217</v>
      </c>
      <c r="AP27" s="833">
        <f t="shared" si="13"/>
        <v>1059322</v>
      </c>
      <c r="AQ27" s="832">
        <f t="shared" si="13"/>
        <v>1122742</v>
      </c>
      <c r="AR27" s="833">
        <f t="shared" si="13"/>
        <v>1499865</v>
      </c>
      <c r="AS27" s="832">
        <f t="shared" si="13"/>
        <v>1518994</v>
      </c>
      <c r="AT27" s="833">
        <f t="shared" si="13"/>
        <v>5640378</v>
      </c>
      <c r="AU27" s="832">
        <f t="shared" si="13"/>
        <v>7883636</v>
      </c>
      <c r="AV27" s="833">
        <f t="shared" si="7"/>
        <v>84516829</v>
      </c>
      <c r="AW27" s="852">
        <f t="shared" si="8"/>
        <v>95185963.2</v>
      </c>
      <c r="AX27" s="835">
        <f>SUM(AX17:AX26)</f>
        <v>193453154</v>
      </c>
      <c r="AY27" s="836">
        <f>SUM(AY17:AY26)</f>
        <v>0</v>
      </c>
      <c r="AZ27" s="833">
        <f t="shared" si="9"/>
        <v>277969983</v>
      </c>
      <c r="BA27" s="837">
        <f t="shared" si="10"/>
        <v>95185963.2</v>
      </c>
    </row>
  </sheetData>
  <sheetProtection/>
  <mergeCells count="26">
    <mergeCell ref="B3:C3"/>
    <mergeCell ref="D3:E3"/>
    <mergeCell ref="AD3:AE3"/>
    <mergeCell ref="AF3:AG3"/>
    <mergeCell ref="AH3:AI3"/>
    <mergeCell ref="V3:W3"/>
    <mergeCell ref="X3:Y3"/>
    <mergeCell ref="Z3:AA3"/>
    <mergeCell ref="H3:I3"/>
    <mergeCell ref="F3:G3"/>
    <mergeCell ref="AL3:AM3"/>
    <mergeCell ref="L3:M3"/>
    <mergeCell ref="J3:K3"/>
    <mergeCell ref="N3:O3"/>
    <mergeCell ref="P3:Q3"/>
    <mergeCell ref="R3:S3"/>
    <mergeCell ref="T3:U3"/>
    <mergeCell ref="AJ3:AK3"/>
    <mergeCell ref="AZ3:BA3"/>
    <mergeCell ref="AB3:AC3"/>
    <mergeCell ref="AR3:AS3"/>
    <mergeCell ref="AX3:AY3"/>
    <mergeCell ref="AT3:AU3"/>
    <mergeCell ref="AV3:AW3"/>
    <mergeCell ref="AN3:AO3"/>
    <mergeCell ref="AP3:AQ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9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2" sqref="A2:AY2"/>
    </sheetView>
  </sheetViews>
  <sheetFormatPr defaultColWidth="9.140625" defaultRowHeight="15"/>
  <cols>
    <col min="1" max="1" width="67.140625" style="147" customWidth="1"/>
    <col min="2" max="25" width="12.421875" style="147" bestFit="1" customWidth="1"/>
    <col min="26" max="26" width="12.421875" style="147" customWidth="1"/>
    <col min="27" max="47" width="12.421875" style="147" bestFit="1" customWidth="1"/>
    <col min="48" max="50" width="12.8515625" style="147" bestFit="1" customWidth="1"/>
    <col min="51" max="51" width="12.421875" style="147" bestFit="1" customWidth="1"/>
    <col min="52" max="53" width="12.8515625" style="147" bestFit="1" customWidth="1"/>
    <col min="54" max="16384" width="9.140625" style="147" customWidth="1"/>
  </cols>
  <sheetData>
    <row r="1" spans="1:51" ht="18">
      <c r="A1" s="1720" t="s">
        <v>181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  <c r="P1" s="1720"/>
      <c r="Q1" s="1720"/>
      <c r="R1" s="1720"/>
      <c r="S1" s="1720"/>
      <c r="T1" s="1720"/>
      <c r="U1" s="1720"/>
      <c r="V1" s="1720"/>
      <c r="W1" s="1720"/>
      <c r="X1" s="1720"/>
      <c r="Y1" s="1720"/>
      <c r="Z1" s="1720"/>
      <c r="AA1" s="1720"/>
      <c r="AB1" s="1720"/>
      <c r="AC1" s="1720"/>
      <c r="AD1" s="1720"/>
      <c r="AE1" s="1720"/>
      <c r="AF1" s="1720"/>
      <c r="AG1" s="1720"/>
      <c r="AH1" s="1720"/>
      <c r="AI1" s="1720"/>
      <c r="AJ1" s="1720"/>
      <c r="AK1" s="1720"/>
      <c r="AL1" s="1720"/>
      <c r="AM1" s="1720"/>
      <c r="AN1" s="1720"/>
      <c r="AO1" s="1720"/>
      <c r="AP1" s="1720"/>
      <c r="AQ1" s="1720"/>
      <c r="AR1" s="1720"/>
      <c r="AS1" s="1720"/>
      <c r="AT1" s="1720"/>
      <c r="AU1" s="1720"/>
      <c r="AV1" s="1720"/>
      <c r="AW1" s="1720"/>
      <c r="AX1" s="1720"/>
      <c r="AY1" s="1720"/>
    </row>
    <row r="2" spans="1:51" s="842" customFormat="1" ht="18.75" thickBot="1">
      <c r="A2" s="1721" t="s">
        <v>75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  <c r="S2" s="1721"/>
      <c r="T2" s="1721"/>
      <c r="U2" s="1721"/>
      <c r="V2" s="1721"/>
      <c r="W2" s="1721"/>
      <c r="X2" s="1721"/>
      <c r="Y2" s="1721"/>
      <c r="Z2" s="1721"/>
      <c r="AA2" s="1721"/>
      <c r="AB2" s="1721"/>
      <c r="AC2" s="1721"/>
      <c r="AD2" s="1721"/>
      <c r="AE2" s="1721"/>
      <c r="AF2" s="1721"/>
      <c r="AG2" s="1721"/>
      <c r="AH2" s="1721"/>
      <c r="AI2" s="1721"/>
      <c r="AJ2" s="1721"/>
      <c r="AK2" s="1721"/>
      <c r="AL2" s="1721"/>
      <c r="AM2" s="1721"/>
      <c r="AN2" s="1721"/>
      <c r="AO2" s="1721"/>
      <c r="AP2" s="1721"/>
      <c r="AQ2" s="1721"/>
      <c r="AR2" s="1721"/>
      <c r="AS2" s="1721"/>
      <c r="AT2" s="1721"/>
      <c r="AU2" s="1721"/>
      <c r="AV2" s="1721"/>
      <c r="AW2" s="1721"/>
      <c r="AX2" s="1721"/>
      <c r="AY2" s="1721"/>
    </row>
    <row r="3" spans="1:53" s="1414" customFormat="1" ht="30" customHeight="1" thickBot="1">
      <c r="A3" s="1722" t="s">
        <v>0</v>
      </c>
      <c r="B3" s="1724" t="s">
        <v>184</v>
      </c>
      <c r="C3" s="1725"/>
      <c r="D3" s="1726" t="s">
        <v>185</v>
      </c>
      <c r="E3" s="1726"/>
      <c r="F3" s="1724" t="s">
        <v>186</v>
      </c>
      <c r="G3" s="1725"/>
      <c r="H3" s="1724" t="s">
        <v>187</v>
      </c>
      <c r="I3" s="1725"/>
      <c r="J3" s="1726" t="s">
        <v>188</v>
      </c>
      <c r="K3" s="1726"/>
      <c r="L3" s="1724" t="s">
        <v>189</v>
      </c>
      <c r="M3" s="1725"/>
      <c r="N3" s="1726" t="s">
        <v>527</v>
      </c>
      <c r="O3" s="1726"/>
      <c r="P3" s="1724" t="s">
        <v>190</v>
      </c>
      <c r="Q3" s="1725"/>
      <c r="R3" s="1726" t="s">
        <v>191</v>
      </c>
      <c r="S3" s="1726"/>
      <c r="T3" s="1724" t="s">
        <v>192</v>
      </c>
      <c r="U3" s="1725"/>
      <c r="V3" s="1726" t="s">
        <v>193</v>
      </c>
      <c r="W3" s="1726"/>
      <c r="X3" s="1724" t="s">
        <v>194</v>
      </c>
      <c r="Y3" s="1725"/>
      <c r="Z3" s="1726" t="s">
        <v>195</v>
      </c>
      <c r="AA3" s="1726"/>
      <c r="AB3" s="1724" t="s">
        <v>196</v>
      </c>
      <c r="AC3" s="1725"/>
      <c r="AD3" s="1726" t="s">
        <v>197</v>
      </c>
      <c r="AE3" s="1726"/>
      <c r="AF3" s="1724" t="s">
        <v>198</v>
      </c>
      <c r="AG3" s="1725"/>
      <c r="AH3" s="1726" t="s">
        <v>199</v>
      </c>
      <c r="AI3" s="1726"/>
      <c r="AJ3" s="1724" t="s">
        <v>200</v>
      </c>
      <c r="AK3" s="1726"/>
      <c r="AL3" s="1727" t="s">
        <v>201</v>
      </c>
      <c r="AM3" s="1728"/>
      <c r="AN3" s="1724" t="s">
        <v>202</v>
      </c>
      <c r="AO3" s="1726"/>
      <c r="AP3" s="1724" t="s">
        <v>203</v>
      </c>
      <c r="AQ3" s="1726"/>
      <c r="AR3" s="1724" t="s">
        <v>204</v>
      </c>
      <c r="AS3" s="1726"/>
      <c r="AT3" s="1724" t="s">
        <v>205</v>
      </c>
      <c r="AU3" s="1726"/>
      <c r="AV3" s="1724" t="s">
        <v>1</v>
      </c>
      <c r="AW3" s="1726"/>
      <c r="AX3" s="1724" t="s">
        <v>206</v>
      </c>
      <c r="AY3" s="1726"/>
      <c r="AZ3" s="1717" t="s">
        <v>2</v>
      </c>
      <c r="BA3" s="1729"/>
    </row>
    <row r="4" spans="1:53" s="846" customFormat="1" ht="15" customHeight="1" thickBot="1">
      <c r="A4" s="1723"/>
      <c r="B4" s="844" t="s">
        <v>277</v>
      </c>
      <c r="C4" s="802" t="s">
        <v>446</v>
      </c>
      <c r="D4" s="845" t="s">
        <v>277</v>
      </c>
      <c r="E4" s="845" t="s">
        <v>446</v>
      </c>
      <c r="F4" s="844" t="s">
        <v>277</v>
      </c>
      <c r="G4" s="802" t="s">
        <v>446</v>
      </c>
      <c r="H4" s="844" t="s">
        <v>277</v>
      </c>
      <c r="I4" s="802" t="s">
        <v>446</v>
      </c>
      <c r="J4" s="845" t="s">
        <v>277</v>
      </c>
      <c r="K4" s="845" t="s">
        <v>446</v>
      </c>
      <c r="L4" s="844" t="s">
        <v>277</v>
      </c>
      <c r="M4" s="802" t="s">
        <v>446</v>
      </c>
      <c r="N4" s="845" t="s">
        <v>277</v>
      </c>
      <c r="O4" s="845" t="s">
        <v>446</v>
      </c>
      <c r="P4" s="844" t="s">
        <v>277</v>
      </c>
      <c r="Q4" s="802" t="s">
        <v>446</v>
      </c>
      <c r="R4" s="845" t="s">
        <v>277</v>
      </c>
      <c r="S4" s="845" t="s">
        <v>446</v>
      </c>
      <c r="T4" s="844" t="s">
        <v>277</v>
      </c>
      <c r="U4" s="802" t="s">
        <v>446</v>
      </c>
      <c r="V4" s="845" t="s">
        <v>277</v>
      </c>
      <c r="W4" s="845" t="s">
        <v>446</v>
      </c>
      <c r="X4" s="844" t="s">
        <v>277</v>
      </c>
      <c r="Y4" s="802" t="s">
        <v>446</v>
      </c>
      <c r="Z4" s="845" t="s">
        <v>277</v>
      </c>
      <c r="AA4" s="845" t="s">
        <v>446</v>
      </c>
      <c r="AB4" s="844" t="s">
        <v>277</v>
      </c>
      <c r="AC4" s="802" t="s">
        <v>446</v>
      </c>
      <c r="AD4" s="845" t="s">
        <v>277</v>
      </c>
      <c r="AE4" s="845" t="s">
        <v>446</v>
      </c>
      <c r="AF4" s="844" t="s">
        <v>277</v>
      </c>
      <c r="AG4" s="802" t="s">
        <v>446</v>
      </c>
      <c r="AH4" s="845" t="s">
        <v>277</v>
      </c>
      <c r="AI4" s="845" t="s">
        <v>446</v>
      </c>
      <c r="AJ4" s="844" t="s">
        <v>277</v>
      </c>
      <c r="AK4" s="845" t="s">
        <v>446</v>
      </c>
      <c r="AL4" s="844" t="s">
        <v>277</v>
      </c>
      <c r="AM4" s="844" t="s">
        <v>446</v>
      </c>
      <c r="AN4" s="844" t="s">
        <v>277</v>
      </c>
      <c r="AO4" s="845" t="s">
        <v>446</v>
      </c>
      <c r="AP4" s="844" t="s">
        <v>277</v>
      </c>
      <c r="AQ4" s="845" t="s">
        <v>446</v>
      </c>
      <c r="AR4" s="1654" t="s">
        <v>277</v>
      </c>
      <c r="AS4" s="845" t="s">
        <v>446</v>
      </c>
      <c r="AT4" s="844" t="s">
        <v>277</v>
      </c>
      <c r="AU4" s="845" t="s">
        <v>446</v>
      </c>
      <c r="AV4" s="844" t="s">
        <v>277</v>
      </c>
      <c r="AW4" s="845" t="s">
        <v>446</v>
      </c>
      <c r="AX4" s="844" t="s">
        <v>277</v>
      </c>
      <c r="AY4" s="845" t="s">
        <v>446</v>
      </c>
      <c r="AZ4" s="844" t="s">
        <v>277</v>
      </c>
      <c r="BA4" s="802" t="s">
        <v>446</v>
      </c>
    </row>
    <row r="5" spans="1:53" ht="15" customHeight="1">
      <c r="A5" s="1174" t="s">
        <v>76</v>
      </c>
      <c r="B5" s="1155">
        <v>6413516</v>
      </c>
      <c r="C5" s="1157">
        <v>7028618</v>
      </c>
      <c r="D5" s="1158">
        <v>884606</v>
      </c>
      <c r="E5" s="1157">
        <v>834315</v>
      </c>
      <c r="F5" s="1156">
        <v>1768741</v>
      </c>
      <c r="G5" s="1157"/>
      <c r="H5" s="1156">
        <v>9172883</v>
      </c>
      <c r="I5" s="1157">
        <v>10614600</v>
      </c>
      <c r="J5" s="1156">
        <v>2608236</v>
      </c>
      <c r="K5" s="1157">
        <v>2807996</v>
      </c>
      <c r="L5" s="1156">
        <v>2286094</v>
      </c>
      <c r="M5" s="1157">
        <v>3013282</v>
      </c>
      <c r="N5" s="1156">
        <v>2902055</v>
      </c>
      <c r="O5" s="1157">
        <v>2043511</v>
      </c>
      <c r="P5" s="1156">
        <v>2805378</v>
      </c>
      <c r="Q5" s="1157">
        <v>3144329</v>
      </c>
      <c r="R5" s="1156">
        <v>3047097</v>
      </c>
      <c r="S5" s="1157">
        <v>3618048</v>
      </c>
      <c r="T5" s="1156">
        <v>3169402</v>
      </c>
      <c r="U5" s="1159">
        <v>3570666</v>
      </c>
      <c r="V5" s="1156">
        <v>14082233</v>
      </c>
      <c r="W5" s="1159">
        <v>16769613</v>
      </c>
      <c r="X5" s="1156">
        <v>9730930</v>
      </c>
      <c r="Y5" s="1159">
        <v>10307365</v>
      </c>
      <c r="Z5" s="1156">
        <v>1279056</v>
      </c>
      <c r="AA5" s="1159">
        <v>1194402</v>
      </c>
      <c r="AB5" s="1156">
        <v>1787951</v>
      </c>
      <c r="AC5" s="1157">
        <v>2254002</v>
      </c>
      <c r="AD5" s="1156">
        <v>7780902</v>
      </c>
      <c r="AE5" s="1157">
        <v>8529826</v>
      </c>
      <c r="AF5" s="1156">
        <v>8434636</v>
      </c>
      <c r="AG5" s="1157">
        <v>12326877</v>
      </c>
      <c r="AH5" s="1156">
        <v>5798616</v>
      </c>
      <c r="AI5" s="1159">
        <v>5843195</v>
      </c>
      <c r="AJ5" s="1155">
        <v>6076972</v>
      </c>
      <c r="AK5" s="1159">
        <v>6701430</v>
      </c>
      <c r="AL5" s="1160"/>
      <c r="AM5" s="1160"/>
      <c r="AN5" s="1660">
        <v>12371811</v>
      </c>
      <c r="AO5" s="1656">
        <v>13613835</v>
      </c>
      <c r="AP5" s="1155">
        <v>2649117</v>
      </c>
      <c r="AQ5" s="1159">
        <v>3321260</v>
      </c>
      <c r="AR5" s="1155">
        <v>1872300</v>
      </c>
      <c r="AS5" s="1159">
        <v>2271900</v>
      </c>
      <c r="AT5" s="1155">
        <v>5637683</v>
      </c>
      <c r="AU5" s="1159">
        <v>6396755</v>
      </c>
      <c r="AV5" s="1155">
        <f aca="true" t="shared" si="0" ref="AV5:AV38">SUM(B5+D5+F5+H5+J5+L5+N5+P5+R5+T5+V5+X5+Z5+AB5+AD5+AF5+AH5+AJ5+AL5+AN5+AP5+AR5+AT5)</f>
        <v>112560215</v>
      </c>
      <c r="AW5" s="1160">
        <f aca="true" t="shared" si="1" ref="AW5:AW38">SUM(C5+E5+G5+I5+K5+M5+O5+Q5+S5+U5+W5+Y5+AA5+AC5+AE5+AG5+AI5+AK5+AM5+AO5+AQ5+AS5+AU5)</f>
        <v>126205825</v>
      </c>
      <c r="AX5" s="1155">
        <v>198718844</v>
      </c>
      <c r="AY5" s="1159"/>
      <c r="AZ5" s="1155">
        <f aca="true" t="shared" si="2" ref="AZ5:AZ38">AV5+AX5</f>
        <v>311279059</v>
      </c>
      <c r="BA5" s="1161">
        <f aca="true" t="shared" si="3" ref="BA5:BA38">AW5+AY5</f>
        <v>126205825</v>
      </c>
    </row>
    <row r="6" spans="1:53" ht="16.5">
      <c r="A6" s="193" t="s">
        <v>77</v>
      </c>
      <c r="B6" s="194">
        <v>251442</v>
      </c>
      <c r="C6" s="196">
        <v>231716</v>
      </c>
      <c r="D6" s="197">
        <v>46779</v>
      </c>
      <c r="E6" s="199">
        <v>51650</v>
      </c>
      <c r="F6" s="198">
        <v>48519</v>
      </c>
      <c r="G6" s="199"/>
      <c r="H6" s="198">
        <v>308765</v>
      </c>
      <c r="I6" s="199">
        <v>325545</v>
      </c>
      <c r="J6" s="198">
        <v>89401</v>
      </c>
      <c r="K6" s="199">
        <v>116641</v>
      </c>
      <c r="L6" s="198">
        <v>128539</v>
      </c>
      <c r="M6" s="199">
        <v>161250</v>
      </c>
      <c r="N6" s="198">
        <v>82857</v>
      </c>
      <c r="O6" s="199">
        <v>44263</v>
      </c>
      <c r="P6" s="198">
        <v>197530</v>
      </c>
      <c r="Q6" s="199">
        <v>176119</v>
      </c>
      <c r="R6" s="198">
        <v>153625</v>
      </c>
      <c r="S6" s="199">
        <v>177423</v>
      </c>
      <c r="T6" s="198">
        <v>179732</v>
      </c>
      <c r="U6" s="577">
        <v>279078</v>
      </c>
      <c r="V6" s="198">
        <v>300900</v>
      </c>
      <c r="W6" s="577">
        <v>343887</v>
      </c>
      <c r="X6" s="198">
        <v>720922</v>
      </c>
      <c r="Y6" s="577">
        <v>541236</v>
      </c>
      <c r="Z6" s="200">
        <v>54932</v>
      </c>
      <c r="AA6" s="576">
        <v>52466</v>
      </c>
      <c r="AB6" s="198">
        <v>124674</v>
      </c>
      <c r="AC6" s="199">
        <v>167210</v>
      </c>
      <c r="AD6" s="198">
        <v>222824</v>
      </c>
      <c r="AE6" s="199">
        <v>214244</v>
      </c>
      <c r="AF6" s="198">
        <v>587498</v>
      </c>
      <c r="AG6" s="199">
        <v>673829</v>
      </c>
      <c r="AH6" s="198">
        <v>146421</v>
      </c>
      <c r="AI6" s="577">
        <v>144734</v>
      </c>
      <c r="AJ6" s="207">
        <v>222879</v>
      </c>
      <c r="AK6" s="577">
        <v>183691</v>
      </c>
      <c r="AL6" s="1664"/>
      <c r="AM6" s="1664"/>
      <c r="AN6" s="1661">
        <v>620832</v>
      </c>
      <c r="AO6" s="1657">
        <v>721254</v>
      </c>
      <c r="AP6" s="1092">
        <v>181122</v>
      </c>
      <c r="AQ6" s="1652">
        <v>238527</v>
      </c>
      <c r="AR6" s="204">
        <v>61824</v>
      </c>
      <c r="AS6" s="847">
        <v>68303</v>
      </c>
      <c r="AT6" s="207">
        <v>359557</v>
      </c>
      <c r="AU6" s="577">
        <v>442486</v>
      </c>
      <c r="AV6" s="208">
        <f t="shared" si="0"/>
        <v>5091574</v>
      </c>
      <c r="AW6" s="848">
        <f t="shared" si="1"/>
        <v>5355552</v>
      </c>
      <c r="AX6" s="204">
        <v>2934411</v>
      </c>
      <c r="AY6" s="847"/>
      <c r="AZ6" s="208">
        <f t="shared" si="2"/>
        <v>8025985</v>
      </c>
      <c r="BA6" s="1646">
        <f t="shared" si="3"/>
        <v>5355552</v>
      </c>
    </row>
    <row r="7" spans="1:53" ht="16.5">
      <c r="A7" s="193" t="s">
        <v>78</v>
      </c>
      <c r="B7" s="194">
        <v>214626</v>
      </c>
      <c r="C7" s="196">
        <v>184062</v>
      </c>
      <c r="D7" s="197">
        <v>986</v>
      </c>
      <c r="E7" s="199">
        <v>3423</v>
      </c>
      <c r="F7" s="198">
        <v>16105</v>
      </c>
      <c r="G7" s="199"/>
      <c r="H7" s="198">
        <v>358930</v>
      </c>
      <c r="I7" s="199">
        <v>308847</v>
      </c>
      <c r="J7" s="198">
        <v>3270</v>
      </c>
      <c r="K7" s="199">
        <v>12875</v>
      </c>
      <c r="L7" s="198">
        <v>107702</v>
      </c>
      <c r="M7" s="199">
        <v>237849</v>
      </c>
      <c r="N7" s="198">
        <v>21379</v>
      </c>
      <c r="O7" s="199">
        <v>14350</v>
      </c>
      <c r="P7" s="198">
        <v>103642</v>
      </c>
      <c r="Q7" s="199">
        <v>127345</v>
      </c>
      <c r="R7" s="198"/>
      <c r="S7" s="199"/>
      <c r="T7" s="198">
        <v>218835</v>
      </c>
      <c r="U7" s="577">
        <v>129783</v>
      </c>
      <c r="V7" s="198">
        <v>873488</v>
      </c>
      <c r="W7" s="577">
        <v>1156945</v>
      </c>
      <c r="X7" s="198">
        <v>557564</v>
      </c>
      <c r="Y7" s="577">
        <v>87563</v>
      </c>
      <c r="Z7" s="200">
        <v>12471</v>
      </c>
      <c r="AA7" s="576">
        <v>8471</v>
      </c>
      <c r="AB7" s="198">
        <v>77724</v>
      </c>
      <c r="AC7" s="199">
        <v>124414</v>
      </c>
      <c r="AD7" s="198"/>
      <c r="AE7" s="199"/>
      <c r="AF7" s="198">
        <v>1657368</v>
      </c>
      <c r="AG7" s="199">
        <v>1475842</v>
      </c>
      <c r="AH7" s="198">
        <v>52389</v>
      </c>
      <c r="AI7" s="577">
        <v>126328</v>
      </c>
      <c r="AJ7" s="207">
        <v>112127</v>
      </c>
      <c r="AK7" s="577">
        <v>118552</v>
      </c>
      <c r="AL7" s="1664"/>
      <c r="AM7" s="1664"/>
      <c r="AN7" s="1661">
        <v>363078</v>
      </c>
      <c r="AO7" s="1657">
        <v>616779</v>
      </c>
      <c r="AP7" s="1092">
        <v>207366</v>
      </c>
      <c r="AQ7" s="1652">
        <v>105891</v>
      </c>
      <c r="AR7" s="204">
        <v>117934</v>
      </c>
      <c r="AS7" s="847">
        <v>167492</v>
      </c>
      <c r="AT7" s="207">
        <v>394074</v>
      </c>
      <c r="AU7" s="577">
        <v>567961</v>
      </c>
      <c r="AV7" s="208">
        <f t="shared" si="0"/>
        <v>5471058</v>
      </c>
      <c r="AW7" s="848">
        <f t="shared" si="1"/>
        <v>5574772</v>
      </c>
      <c r="AX7" s="204">
        <v>287116</v>
      </c>
      <c r="AY7" s="847"/>
      <c r="AZ7" s="208">
        <f t="shared" si="2"/>
        <v>5758174</v>
      </c>
      <c r="BA7" s="1646">
        <f t="shared" si="3"/>
        <v>5574772</v>
      </c>
    </row>
    <row r="8" spans="1:53" ht="16.5">
      <c r="A8" s="193" t="s">
        <v>79</v>
      </c>
      <c r="B8" s="194">
        <v>539075</v>
      </c>
      <c r="C8" s="196">
        <v>548408</v>
      </c>
      <c r="D8" s="197">
        <v>83787</v>
      </c>
      <c r="E8" s="199">
        <v>88347</v>
      </c>
      <c r="F8" s="198">
        <v>345557</v>
      </c>
      <c r="G8" s="199"/>
      <c r="H8" s="209">
        <f>213545+251588</f>
        <v>465133</v>
      </c>
      <c r="I8" s="199">
        <v>316790</v>
      </c>
      <c r="J8" s="198">
        <v>210705</v>
      </c>
      <c r="K8" s="199">
        <v>190577</v>
      </c>
      <c r="L8" s="198">
        <v>224546</v>
      </c>
      <c r="M8" s="199">
        <v>230879</v>
      </c>
      <c r="N8" s="198">
        <v>179379</v>
      </c>
      <c r="O8" s="199">
        <v>196767</v>
      </c>
      <c r="P8" s="198">
        <v>236751</v>
      </c>
      <c r="Q8" s="199">
        <v>254507</v>
      </c>
      <c r="R8" s="198">
        <v>564925</v>
      </c>
      <c r="S8" s="199">
        <v>444228</v>
      </c>
      <c r="T8" s="198">
        <v>265011</v>
      </c>
      <c r="U8" s="577">
        <v>304222</v>
      </c>
      <c r="V8" s="198">
        <v>790054</v>
      </c>
      <c r="W8" s="577">
        <v>767341</v>
      </c>
      <c r="X8" s="198">
        <v>1464388</v>
      </c>
      <c r="Y8" s="577">
        <v>1917467</v>
      </c>
      <c r="Z8" s="200">
        <v>64870</v>
      </c>
      <c r="AA8" s="576">
        <v>81486</v>
      </c>
      <c r="AB8" s="198">
        <v>124048</v>
      </c>
      <c r="AC8" s="199">
        <v>153286</v>
      </c>
      <c r="AD8" s="198">
        <v>527073</v>
      </c>
      <c r="AE8" s="199">
        <v>535509</v>
      </c>
      <c r="AF8" s="198">
        <v>769862</v>
      </c>
      <c r="AG8" s="199">
        <v>869359</v>
      </c>
      <c r="AH8" s="198">
        <v>432822</v>
      </c>
      <c r="AI8" s="577">
        <v>536087</v>
      </c>
      <c r="AJ8" s="207">
        <f>453263+286264</f>
        <v>739527</v>
      </c>
      <c r="AK8" s="577">
        <f>479240+224149</f>
        <v>703389</v>
      </c>
      <c r="AL8" s="1664"/>
      <c r="AM8" s="1664"/>
      <c r="AN8" s="1661">
        <v>669794</v>
      </c>
      <c r="AO8" s="1657">
        <v>814434</v>
      </c>
      <c r="AP8" s="1092">
        <v>296317</v>
      </c>
      <c r="AQ8" s="1652">
        <v>219928</v>
      </c>
      <c r="AR8" s="204">
        <v>141895</v>
      </c>
      <c r="AS8" s="847">
        <v>157559</v>
      </c>
      <c r="AT8" s="207">
        <v>277257</v>
      </c>
      <c r="AU8" s="577">
        <v>321450</v>
      </c>
      <c r="AV8" s="208">
        <f t="shared" si="0"/>
        <v>9412776</v>
      </c>
      <c r="AW8" s="848">
        <f t="shared" si="1"/>
        <v>9652020</v>
      </c>
      <c r="AX8" s="204">
        <v>5114279</v>
      </c>
      <c r="AY8" s="847"/>
      <c r="AZ8" s="208">
        <f t="shared" si="2"/>
        <v>14527055</v>
      </c>
      <c r="BA8" s="1646">
        <f t="shared" si="3"/>
        <v>9652020</v>
      </c>
    </row>
    <row r="9" spans="1:53" ht="16.5">
      <c r="A9" s="193" t="s">
        <v>80</v>
      </c>
      <c r="B9" s="194">
        <v>256707</v>
      </c>
      <c r="C9" s="196">
        <v>256754</v>
      </c>
      <c r="D9" s="197">
        <v>5238</v>
      </c>
      <c r="E9" s="199">
        <v>5767</v>
      </c>
      <c r="F9" s="198">
        <v>120904</v>
      </c>
      <c r="G9" s="199"/>
      <c r="H9" s="198">
        <v>107240</v>
      </c>
      <c r="I9" s="199">
        <v>107672</v>
      </c>
      <c r="J9" s="198">
        <v>18514</v>
      </c>
      <c r="K9" s="199">
        <v>33641</v>
      </c>
      <c r="L9" s="198">
        <v>27341</v>
      </c>
      <c r="M9" s="199">
        <v>28702</v>
      </c>
      <c r="N9" s="198">
        <v>80478</v>
      </c>
      <c r="O9" s="199">
        <v>71874</v>
      </c>
      <c r="P9" s="198">
        <v>106572</v>
      </c>
      <c r="Q9" s="199">
        <v>119249</v>
      </c>
      <c r="R9" s="198">
        <v>377946</v>
      </c>
      <c r="S9" s="199">
        <v>409728</v>
      </c>
      <c r="T9" s="198">
        <v>103377</v>
      </c>
      <c r="U9" s="577">
        <v>134473</v>
      </c>
      <c r="V9" s="198">
        <v>76186</v>
      </c>
      <c r="W9" s="577">
        <v>43412</v>
      </c>
      <c r="X9" s="198">
        <v>343392</v>
      </c>
      <c r="Y9" s="577">
        <v>372924</v>
      </c>
      <c r="Z9" s="200">
        <f>32297+1371</f>
        <v>33668</v>
      </c>
      <c r="AA9" s="576">
        <v>1714</v>
      </c>
      <c r="AB9" s="198">
        <v>30327</v>
      </c>
      <c r="AC9" s="199">
        <v>35919</v>
      </c>
      <c r="AD9" s="198">
        <v>211256</v>
      </c>
      <c r="AE9" s="199">
        <v>220078</v>
      </c>
      <c r="AF9" s="198">
        <v>351329</v>
      </c>
      <c r="AG9" s="199">
        <v>392937</v>
      </c>
      <c r="AH9" s="198">
        <v>35708</v>
      </c>
      <c r="AI9" s="577">
        <v>10017</v>
      </c>
      <c r="AJ9" s="207">
        <v>16455</v>
      </c>
      <c r="AK9" s="577">
        <v>11463</v>
      </c>
      <c r="AL9" s="1664"/>
      <c r="AM9" s="1664"/>
      <c r="AN9" s="1661">
        <v>566224</v>
      </c>
      <c r="AO9" s="1657">
        <v>675485</v>
      </c>
      <c r="AP9" s="1092">
        <v>7828</v>
      </c>
      <c r="AQ9" s="1652">
        <v>3858</v>
      </c>
      <c r="AR9" s="204">
        <v>130716</v>
      </c>
      <c r="AS9" s="847">
        <v>143515</v>
      </c>
      <c r="AT9" s="207">
        <v>207847</v>
      </c>
      <c r="AU9" s="577">
        <v>227968</v>
      </c>
      <c r="AV9" s="208">
        <f t="shared" si="0"/>
        <v>3215253</v>
      </c>
      <c r="AW9" s="848">
        <f t="shared" si="1"/>
        <v>3307150</v>
      </c>
      <c r="AX9" s="204">
        <v>1148080</v>
      </c>
      <c r="AY9" s="847"/>
      <c r="AZ9" s="208">
        <f t="shared" si="2"/>
        <v>4363333</v>
      </c>
      <c r="BA9" s="1646">
        <f t="shared" si="3"/>
        <v>3307150</v>
      </c>
    </row>
    <row r="10" spans="1:53" ht="16.5">
      <c r="A10" s="193" t="s">
        <v>81</v>
      </c>
      <c r="B10" s="194">
        <v>69527</v>
      </c>
      <c r="C10" s="196">
        <v>46008</v>
      </c>
      <c r="D10" s="197">
        <v>8506</v>
      </c>
      <c r="E10" s="199">
        <v>7243</v>
      </c>
      <c r="F10" s="198">
        <v>33192</v>
      </c>
      <c r="G10" s="199"/>
      <c r="H10" s="209">
        <v>60288</v>
      </c>
      <c r="I10" s="199">
        <v>64079</v>
      </c>
      <c r="J10" s="198">
        <v>32116</v>
      </c>
      <c r="K10" s="199">
        <v>69211</v>
      </c>
      <c r="L10" s="198">
        <v>23080</v>
      </c>
      <c r="M10" s="199">
        <v>22766</v>
      </c>
      <c r="N10" s="198">
        <v>7167</v>
      </c>
      <c r="O10" s="199">
        <v>3557</v>
      </c>
      <c r="P10" s="198">
        <v>25615</v>
      </c>
      <c r="Q10" s="199">
        <v>30751</v>
      </c>
      <c r="R10" s="198">
        <v>41717</v>
      </c>
      <c r="S10" s="199">
        <v>28842</v>
      </c>
      <c r="T10" s="198">
        <v>18286</v>
      </c>
      <c r="U10" s="577">
        <v>18056</v>
      </c>
      <c r="V10" s="198">
        <v>128955</v>
      </c>
      <c r="W10" s="577">
        <v>127464</v>
      </c>
      <c r="X10" s="198">
        <v>68306</v>
      </c>
      <c r="Y10" s="577">
        <v>80077</v>
      </c>
      <c r="Z10" s="200">
        <v>23715</v>
      </c>
      <c r="AA10" s="576">
        <v>20119</v>
      </c>
      <c r="AB10" s="198">
        <v>16970</v>
      </c>
      <c r="AC10" s="199">
        <v>17621</v>
      </c>
      <c r="AD10" s="657">
        <v>147616</v>
      </c>
      <c r="AE10" s="1170">
        <v>121318</v>
      </c>
      <c r="AF10" s="198">
        <v>87759</v>
      </c>
      <c r="AG10" s="199">
        <v>108120</v>
      </c>
      <c r="AH10" s="198">
        <v>31481</v>
      </c>
      <c r="AI10" s="577">
        <v>40523</v>
      </c>
      <c r="AJ10" s="207">
        <v>59178</v>
      </c>
      <c r="AK10" s="577">
        <v>37348</v>
      </c>
      <c r="AL10" s="1664"/>
      <c r="AM10" s="1664"/>
      <c r="AN10" s="1661">
        <v>120978</v>
      </c>
      <c r="AO10" s="1657">
        <v>162174</v>
      </c>
      <c r="AP10" s="1092">
        <v>141807</v>
      </c>
      <c r="AQ10" s="1652">
        <v>63743</v>
      </c>
      <c r="AR10" s="204">
        <v>13527</v>
      </c>
      <c r="AS10" s="847">
        <v>15219</v>
      </c>
      <c r="AT10" s="207">
        <v>47403</v>
      </c>
      <c r="AU10" s="577">
        <v>53992</v>
      </c>
      <c r="AV10" s="194">
        <f t="shared" si="0"/>
        <v>1207189</v>
      </c>
      <c r="AW10" s="1117">
        <f t="shared" si="1"/>
        <v>1138231</v>
      </c>
      <c r="AX10" s="207">
        <v>1267613</v>
      </c>
      <c r="AY10" s="577"/>
      <c r="AZ10" s="194">
        <f t="shared" si="2"/>
        <v>2474802</v>
      </c>
      <c r="BA10" s="1121">
        <f t="shared" si="3"/>
        <v>1138231</v>
      </c>
    </row>
    <row r="11" spans="1:53" ht="16.5">
      <c r="A11" s="193" t="s">
        <v>82</v>
      </c>
      <c r="B11" s="194">
        <v>113585</v>
      </c>
      <c r="C11" s="196">
        <v>110417</v>
      </c>
      <c r="D11" s="197">
        <v>17853</v>
      </c>
      <c r="E11" s="199">
        <v>14497</v>
      </c>
      <c r="F11" s="198">
        <v>49886</v>
      </c>
      <c r="G11" s="199"/>
      <c r="H11" s="198">
        <v>967962</v>
      </c>
      <c r="I11" s="199">
        <v>777215</v>
      </c>
      <c r="J11" s="198">
        <v>22854</v>
      </c>
      <c r="K11" s="199">
        <v>24153</v>
      </c>
      <c r="L11" s="198">
        <v>170400</v>
      </c>
      <c r="M11" s="199">
        <v>210594</v>
      </c>
      <c r="N11" s="198">
        <v>44139</v>
      </c>
      <c r="O11" s="199">
        <v>37507</v>
      </c>
      <c r="P11" s="198">
        <v>80068</v>
      </c>
      <c r="Q11" s="199">
        <v>65908</v>
      </c>
      <c r="R11" s="198">
        <v>46044</v>
      </c>
      <c r="S11" s="199">
        <v>38519</v>
      </c>
      <c r="T11" s="198">
        <v>64380</v>
      </c>
      <c r="U11" s="577">
        <v>72300</v>
      </c>
      <c r="V11" s="198">
        <v>289198</v>
      </c>
      <c r="W11" s="577">
        <v>253648</v>
      </c>
      <c r="X11" s="198">
        <v>1008829</v>
      </c>
      <c r="Y11" s="577">
        <v>1301074</v>
      </c>
      <c r="Z11" s="198">
        <v>42994</v>
      </c>
      <c r="AA11" s="577">
        <v>33227</v>
      </c>
      <c r="AB11" s="198">
        <v>64565</v>
      </c>
      <c r="AC11" s="199">
        <v>78694</v>
      </c>
      <c r="AD11" s="198">
        <v>118144</v>
      </c>
      <c r="AE11" s="199">
        <v>124151</v>
      </c>
      <c r="AF11" s="198">
        <v>731465</v>
      </c>
      <c r="AG11" s="199">
        <v>597648</v>
      </c>
      <c r="AH11" s="198">
        <v>140350</v>
      </c>
      <c r="AI11" s="577">
        <v>128798</v>
      </c>
      <c r="AJ11" s="207">
        <v>139036</v>
      </c>
      <c r="AK11" s="577">
        <v>115453</v>
      </c>
      <c r="AL11" s="1664"/>
      <c r="AM11" s="1664"/>
      <c r="AN11" s="1661">
        <v>531825</v>
      </c>
      <c r="AO11" s="1657">
        <v>533843</v>
      </c>
      <c r="AP11" s="1092">
        <v>55167</v>
      </c>
      <c r="AQ11" s="1652">
        <v>75977</v>
      </c>
      <c r="AR11" s="204">
        <v>28477</v>
      </c>
      <c r="AS11" s="847">
        <v>30703</v>
      </c>
      <c r="AT11" s="207">
        <v>174919</v>
      </c>
      <c r="AU11" s="577">
        <v>171625</v>
      </c>
      <c r="AV11" s="208">
        <f t="shared" si="0"/>
        <v>4902140</v>
      </c>
      <c r="AW11" s="848">
        <f t="shared" si="1"/>
        <v>4795951</v>
      </c>
      <c r="AX11" s="204">
        <v>2725494</v>
      </c>
      <c r="AY11" s="847"/>
      <c r="AZ11" s="208">
        <f t="shared" si="2"/>
        <v>7627634</v>
      </c>
      <c r="BA11" s="1646">
        <f t="shared" si="3"/>
        <v>4795951</v>
      </c>
    </row>
    <row r="12" spans="1:53" ht="16.5">
      <c r="A12" s="193" t="s">
        <v>83</v>
      </c>
      <c r="B12" s="194">
        <v>124368</v>
      </c>
      <c r="C12" s="196">
        <v>114744</v>
      </c>
      <c r="D12" s="197">
        <v>46003</v>
      </c>
      <c r="E12" s="199">
        <v>54142</v>
      </c>
      <c r="F12" s="198">
        <v>196496</v>
      </c>
      <c r="G12" s="199"/>
      <c r="H12" s="198">
        <v>436035</v>
      </c>
      <c r="I12" s="199">
        <v>698156</v>
      </c>
      <c r="J12" s="198">
        <v>116756</v>
      </c>
      <c r="K12" s="199">
        <v>327318</v>
      </c>
      <c r="L12" s="198">
        <v>108009</v>
      </c>
      <c r="M12" s="199">
        <v>112664</v>
      </c>
      <c r="N12" s="198">
        <v>233333</v>
      </c>
      <c r="O12" s="199">
        <v>163267</v>
      </c>
      <c r="P12" s="198">
        <v>90887</v>
      </c>
      <c r="Q12" s="199">
        <v>133416</v>
      </c>
      <c r="R12" s="198">
        <f>31802+559724</f>
        <v>591526</v>
      </c>
      <c r="S12" s="199">
        <f>11476+674917</f>
        <v>686393</v>
      </c>
      <c r="T12" s="198">
        <v>1133925</v>
      </c>
      <c r="U12" s="577">
        <v>706391</v>
      </c>
      <c r="V12" s="198">
        <v>1805502</v>
      </c>
      <c r="W12" s="577">
        <v>2104950</v>
      </c>
      <c r="X12" s="198">
        <v>1109397</v>
      </c>
      <c r="Y12" s="577">
        <v>1391898</v>
      </c>
      <c r="Z12" s="198">
        <v>169447</v>
      </c>
      <c r="AA12" s="577">
        <v>189277</v>
      </c>
      <c r="AB12" s="198">
        <v>60487</v>
      </c>
      <c r="AC12" s="199">
        <v>80998</v>
      </c>
      <c r="AD12" s="198">
        <v>182388</v>
      </c>
      <c r="AE12" s="199">
        <v>234602</v>
      </c>
      <c r="AF12" s="198">
        <v>446582</v>
      </c>
      <c r="AG12" s="199">
        <v>526817</v>
      </c>
      <c r="AH12" s="198">
        <v>134574</v>
      </c>
      <c r="AI12" s="577">
        <v>131708</v>
      </c>
      <c r="AJ12" s="207">
        <v>296016</v>
      </c>
      <c r="AK12" s="577">
        <v>246361</v>
      </c>
      <c r="AL12" s="1664"/>
      <c r="AM12" s="1664"/>
      <c r="AN12" s="1661">
        <v>1296238</v>
      </c>
      <c r="AO12" s="1657">
        <v>1641531</v>
      </c>
      <c r="AP12" s="1092">
        <v>215222</v>
      </c>
      <c r="AQ12" s="1652">
        <v>189631</v>
      </c>
      <c r="AR12" s="204">
        <v>71187</v>
      </c>
      <c r="AS12" s="847">
        <v>74823</v>
      </c>
      <c r="AT12" s="207">
        <v>1790542</v>
      </c>
      <c r="AU12" s="577">
        <v>2006120</v>
      </c>
      <c r="AV12" s="208">
        <f t="shared" si="0"/>
        <v>10654920</v>
      </c>
      <c r="AW12" s="848">
        <f t="shared" si="1"/>
        <v>11815207</v>
      </c>
      <c r="AX12" s="204">
        <v>141158</v>
      </c>
      <c r="AY12" s="847"/>
      <c r="AZ12" s="208">
        <f t="shared" si="2"/>
        <v>10796078</v>
      </c>
      <c r="BA12" s="1646">
        <f t="shared" si="3"/>
        <v>11815207</v>
      </c>
    </row>
    <row r="13" spans="1:53" ht="16.5">
      <c r="A13" s="193" t="s">
        <v>84</v>
      </c>
      <c r="B13" s="194">
        <v>124041</v>
      </c>
      <c r="C13" s="196">
        <v>112655</v>
      </c>
      <c r="D13" s="197">
        <v>75901</v>
      </c>
      <c r="E13" s="199">
        <v>38535</v>
      </c>
      <c r="F13" s="198">
        <v>10491</v>
      </c>
      <c r="G13" s="199"/>
      <c r="H13" s="198">
        <v>19351</v>
      </c>
      <c r="I13" s="199"/>
      <c r="J13" s="198">
        <v>20718</v>
      </c>
      <c r="K13" s="199">
        <v>30113</v>
      </c>
      <c r="L13" s="198">
        <v>37558</v>
      </c>
      <c r="M13" s="199">
        <v>38025</v>
      </c>
      <c r="N13" s="198">
        <v>9914</v>
      </c>
      <c r="O13" s="199">
        <v>4224</v>
      </c>
      <c r="P13" s="198">
        <v>32088</v>
      </c>
      <c r="Q13" s="199">
        <v>38809</v>
      </c>
      <c r="R13" s="198">
        <v>48659</v>
      </c>
      <c r="S13" s="199">
        <v>41400</v>
      </c>
      <c r="T13" s="198">
        <v>18362</v>
      </c>
      <c r="U13" s="577">
        <v>19839</v>
      </c>
      <c r="V13" s="198">
        <v>210104</v>
      </c>
      <c r="W13" s="577">
        <v>220472</v>
      </c>
      <c r="X13" s="198">
        <v>245449</v>
      </c>
      <c r="Y13" s="577">
        <v>301698</v>
      </c>
      <c r="Z13" s="198">
        <v>16442</v>
      </c>
      <c r="AA13" s="577">
        <v>10828</v>
      </c>
      <c r="AB13" s="198">
        <v>18867</v>
      </c>
      <c r="AC13" s="199">
        <v>23319</v>
      </c>
      <c r="AD13" s="198">
        <v>88250</v>
      </c>
      <c r="AE13" s="199">
        <v>80847</v>
      </c>
      <c r="AF13" s="198">
        <v>266331</v>
      </c>
      <c r="AG13" s="199">
        <v>306707</v>
      </c>
      <c r="AH13" s="198">
        <v>78016</v>
      </c>
      <c r="AI13" s="577">
        <v>75652</v>
      </c>
      <c r="AJ13" s="207">
        <v>20960</v>
      </c>
      <c r="AK13" s="577">
        <v>20309</v>
      </c>
      <c r="AL13" s="1664"/>
      <c r="AM13" s="1664"/>
      <c r="AN13" s="1661">
        <v>276675</v>
      </c>
      <c r="AO13" s="1657">
        <v>393745</v>
      </c>
      <c r="AP13" s="1092">
        <v>11094</v>
      </c>
      <c r="AQ13" s="1652">
        <v>6463</v>
      </c>
      <c r="AR13" s="204">
        <v>13134</v>
      </c>
      <c r="AS13" s="847">
        <v>10462</v>
      </c>
      <c r="AT13" s="207">
        <v>242627</v>
      </c>
      <c r="AU13" s="577">
        <v>344653</v>
      </c>
      <c r="AV13" s="208">
        <f t="shared" si="0"/>
        <v>1885032</v>
      </c>
      <c r="AW13" s="848">
        <f t="shared" si="1"/>
        <v>2118755</v>
      </c>
      <c r="AX13" s="204">
        <v>648097</v>
      </c>
      <c r="AY13" s="847"/>
      <c r="AZ13" s="208">
        <f t="shared" si="2"/>
        <v>2533129</v>
      </c>
      <c r="BA13" s="1646">
        <f t="shared" si="3"/>
        <v>2118755</v>
      </c>
    </row>
    <row r="14" spans="1:53" ht="16.5">
      <c r="A14" s="193" t="s">
        <v>85</v>
      </c>
      <c r="B14" s="194"/>
      <c r="C14" s="196"/>
      <c r="D14" s="197"/>
      <c r="E14" s="199"/>
      <c r="F14" s="198"/>
      <c r="G14" s="199"/>
      <c r="H14" s="198"/>
      <c r="I14" s="199"/>
      <c r="J14" s="198"/>
      <c r="K14" s="199"/>
      <c r="L14" s="198"/>
      <c r="M14" s="199"/>
      <c r="N14" s="198"/>
      <c r="O14" s="199"/>
      <c r="P14" s="198"/>
      <c r="Q14" s="199"/>
      <c r="R14" s="198"/>
      <c r="S14" s="199"/>
      <c r="T14" s="198"/>
      <c r="U14" s="577"/>
      <c r="V14" s="198"/>
      <c r="W14" s="577"/>
      <c r="X14" s="198">
        <v>18508</v>
      </c>
      <c r="Y14" s="577"/>
      <c r="Z14" s="198"/>
      <c r="AA14" s="577"/>
      <c r="AB14" s="198"/>
      <c r="AC14" s="199"/>
      <c r="AD14" s="198"/>
      <c r="AE14" s="199"/>
      <c r="AF14" s="198"/>
      <c r="AG14" s="199"/>
      <c r="AH14" s="198"/>
      <c r="AI14" s="577"/>
      <c r="AJ14" s="207"/>
      <c r="AK14" s="577"/>
      <c r="AL14" s="1664"/>
      <c r="AM14" s="1664"/>
      <c r="AN14" s="207"/>
      <c r="AO14" s="577"/>
      <c r="AP14" s="1092"/>
      <c r="AQ14" s="1652"/>
      <c r="AR14" s="204"/>
      <c r="AS14" s="847"/>
      <c r="AT14" s="207"/>
      <c r="AU14" s="577"/>
      <c r="AV14" s="208">
        <f t="shared" si="0"/>
        <v>18508</v>
      </c>
      <c r="AW14" s="848">
        <f t="shared" si="1"/>
        <v>0</v>
      </c>
      <c r="AX14" s="204"/>
      <c r="AY14" s="847"/>
      <c r="AZ14" s="208">
        <f t="shared" si="2"/>
        <v>18508</v>
      </c>
      <c r="BA14" s="1646">
        <f t="shared" si="3"/>
        <v>0</v>
      </c>
    </row>
    <row r="15" spans="1:53" ht="16.5">
      <c r="A15" s="193" t="s">
        <v>86</v>
      </c>
      <c r="B15" s="194">
        <v>7800</v>
      </c>
      <c r="C15" s="196">
        <v>9139</v>
      </c>
      <c r="D15" s="197">
        <v>3903</v>
      </c>
      <c r="E15" s="199">
        <v>3850</v>
      </c>
      <c r="F15" s="198">
        <v>5697</v>
      </c>
      <c r="G15" s="199"/>
      <c r="H15" s="198">
        <v>9500</v>
      </c>
      <c r="I15" s="199">
        <v>9500</v>
      </c>
      <c r="J15" s="198">
        <v>5500</v>
      </c>
      <c r="K15" s="199">
        <v>6417</v>
      </c>
      <c r="L15" s="198">
        <v>4703</v>
      </c>
      <c r="M15" s="199">
        <v>4616</v>
      </c>
      <c r="N15" s="198">
        <v>4100</v>
      </c>
      <c r="O15" s="199">
        <v>3500</v>
      </c>
      <c r="P15" s="198">
        <v>2600</v>
      </c>
      <c r="Q15" s="199">
        <v>2800</v>
      </c>
      <c r="R15" s="198">
        <v>3700</v>
      </c>
      <c r="S15" s="199">
        <v>3700</v>
      </c>
      <c r="T15" s="198">
        <v>2380</v>
      </c>
      <c r="U15" s="577">
        <v>3500</v>
      </c>
      <c r="V15" s="198">
        <v>11400</v>
      </c>
      <c r="W15" s="577">
        <v>11400</v>
      </c>
      <c r="X15" s="198">
        <v>18508</v>
      </c>
      <c r="Y15" s="577">
        <v>19487</v>
      </c>
      <c r="Z15" s="200">
        <v>3693</v>
      </c>
      <c r="AA15" s="576">
        <v>4056</v>
      </c>
      <c r="AB15" s="198">
        <v>3166</v>
      </c>
      <c r="AC15" s="199">
        <v>3568</v>
      </c>
      <c r="AD15" s="657">
        <v>7887</v>
      </c>
      <c r="AE15" s="1170">
        <v>7844</v>
      </c>
      <c r="AF15" s="198">
        <v>9028</v>
      </c>
      <c r="AG15" s="199">
        <v>9028</v>
      </c>
      <c r="AH15" s="198">
        <v>6500</v>
      </c>
      <c r="AI15" s="577">
        <v>7000</v>
      </c>
      <c r="AJ15" s="207">
        <v>5375</v>
      </c>
      <c r="AK15" s="577">
        <v>6702</v>
      </c>
      <c r="AL15" s="1664"/>
      <c r="AM15" s="1664"/>
      <c r="AN15" s="1661">
        <v>4800</v>
      </c>
      <c r="AO15" s="1657">
        <v>5700</v>
      </c>
      <c r="AP15" s="1092">
        <v>1700</v>
      </c>
      <c r="AQ15" s="1652">
        <v>1700</v>
      </c>
      <c r="AR15" s="204">
        <v>3415</v>
      </c>
      <c r="AS15" s="847">
        <v>7049</v>
      </c>
      <c r="AT15" s="207">
        <v>7600</v>
      </c>
      <c r="AU15" s="577">
        <v>6400</v>
      </c>
      <c r="AV15" s="194">
        <f t="shared" si="0"/>
        <v>132955</v>
      </c>
      <c r="AW15" s="1117">
        <f t="shared" si="1"/>
        <v>136956</v>
      </c>
      <c r="AX15" s="207">
        <v>48450</v>
      </c>
      <c r="AY15" s="577"/>
      <c r="AZ15" s="194">
        <f t="shared" si="2"/>
        <v>181405</v>
      </c>
      <c r="BA15" s="1121">
        <f t="shared" si="3"/>
        <v>136956</v>
      </c>
    </row>
    <row r="16" spans="1:53" ht="16.5">
      <c r="A16" s="193" t="s">
        <v>87</v>
      </c>
      <c r="B16" s="194">
        <v>363</v>
      </c>
      <c r="C16" s="196"/>
      <c r="D16" s="197">
        <v>20</v>
      </c>
      <c r="E16" s="199">
        <v>36</v>
      </c>
      <c r="F16" s="198"/>
      <c r="G16" s="199"/>
      <c r="H16" s="198"/>
      <c r="I16" s="199"/>
      <c r="J16" s="198"/>
      <c r="K16" s="199"/>
      <c r="L16" s="198"/>
      <c r="M16" s="199"/>
      <c r="N16" s="198"/>
      <c r="O16" s="199"/>
      <c r="P16" s="198"/>
      <c r="Q16" s="199"/>
      <c r="R16" s="198"/>
      <c r="S16" s="199"/>
      <c r="T16" s="198"/>
      <c r="U16" s="577"/>
      <c r="V16" s="198"/>
      <c r="W16" s="577"/>
      <c r="X16" s="198"/>
      <c r="Y16" s="577"/>
      <c r="Z16" s="200"/>
      <c r="AA16" s="576"/>
      <c r="AB16" s="198"/>
      <c r="AC16" s="199"/>
      <c r="AD16" s="198"/>
      <c r="AE16" s="199"/>
      <c r="AF16" s="198"/>
      <c r="AG16" s="199"/>
      <c r="AH16" s="198"/>
      <c r="AI16" s="577"/>
      <c r="AJ16" s="207"/>
      <c r="AK16" s="577"/>
      <c r="AL16" s="1664"/>
      <c r="AM16" s="1664"/>
      <c r="AN16" s="1661"/>
      <c r="AO16" s="1657"/>
      <c r="AP16" s="1092"/>
      <c r="AQ16" s="1652"/>
      <c r="AR16" s="204"/>
      <c r="AS16" s="847"/>
      <c r="AT16" s="207"/>
      <c r="AU16" s="577"/>
      <c r="AV16" s="208">
        <f t="shared" si="0"/>
        <v>383</v>
      </c>
      <c r="AW16" s="848">
        <f t="shared" si="1"/>
        <v>36</v>
      </c>
      <c r="AX16" s="207"/>
      <c r="AY16" s="577"/>
      <c r="AZ16" s="208">
        <f t="shared" si="2"/>
        <v>383</v>
      </c>
      <c r="BA16" s="1646">
        <f t="shared" si="3"/>
        <v>36</v>
      </c>
    </row>
    <row r="17" spans="1:53" ht="16.5">
      <c r="A17" s="193" t="s">
        <v>88</v>
      </c>
      <c r="B17" s="194">
        <v>200</v>
      </c>
      <c r="C17" s="196"/>
      <c r="D17" s="197"/>
      <c r="E17" s="199"/>
      <c r="F17" s="198"/>
      <c r="G17" s="199"/>
      <c r="H17" s="198">
        <v>400</v>
      </c>
      <c r="I17" s="199">
        <v>400</v>
      </c>
      <c r="J17" s="198">
        <v>150</v>
      </c>
      <c r="K17" s="199">
        <v>1037</v>
      </c>
      <c r="L17" s="198">
        <v>307</v>
      </c>
      <c r="M17" s="199">
        <v>350</v>
      </c>
      <c r="N17" s="198">
        <v>1350</v>
      </c>
      <c r="O17" s="199">
        <v>1350</v>
      </c>
      <c r="P17" s="198"/>
      <c r="Q17" s="199"/>
      <c r="R17" s="198">
        <v>150</v>
      </c>
      <c r="S17" s="199">
        <v>150</v>
      </c>
      <c r="T17" s="198"/>
      <c r="U17" s="577">
        <v>180</v>
      </c>
      <c r="V17" s="198">
        <v>150</v>
      </c>
      <c r="W17" s="577">
        <v>200</v>
      </c>
      <c r="X17" s="198"/>
      <c r="Y17" s="577"/>
      <c r="Z17" s="200"/>
      <c r="AA17" s="576"/>
      <c r="AB17" s="198"/>
      <c r="AC17" s="199"/>
      <c r="AD17" s="198"/>
      <c r="AE17" s="199"/>
      <c r="AF17" s="198">
        <v>330</v>
      </c>
      <c r="AG17" s="199">
        <v>401</v>
      </c>
      <c r="AH17" s="198"/>
      <c r="AI17" s="577"/>
      <c r="AJ17" s="207"/>
      <c r="AK17" s="577"/>
      <c r="AL17" s="1664"/>
      <c r="AM17" s="1664"/>
      <c r="AN17" s="207"/>
      <c r="AO17" s="577"/>
      <c r="AP17" s="1092"/>
      <c r="AQ17" s="1652"/>
      <c r="AR17" s="204"/>
      <c r="AS17" s="847"/>
      <c r="AT17" s="207"/>
      <c r="AU17" s="577"/>
      <c r="AV17" s="208">
        <f t="shared" si="0"/>
        <v>3037</v>
      </c>
      <c r="AW17" s="848">
        <f t="shared" si="1"/>
        <v>4068</v>
      </c>
      <c r="AX17" s="207">
        <v>261</v>
      </c>
      <c r="AY17" s="577"/>
      <c r="AZ17" s="208">
        <f t="shared" si="2"/>
        <v>3298</v>
      </c>
      <c r="BA17" s="1646">
        <f t="shared" si="3"/>
        <v>4068</v>
      </c>
    </row>
    <row r="18" spans="1:53" ht="16.5">
      <c r="A18" s="193" t="s">
        <v>89</v>
      </c>
      <c r="B18" s="194"/>
      <c r="C18" s="196"/>
      <c r="D18" s="197"/>
      <c r="E18" s="199"/>
      <c r="F18" s="198"/>
      <c r="G18" s="199"/>
      <c r="H18" s="198"/>
      <c r="I18" s="199"/>
      <c r="J18" s="198"/>
      <c r="K18" s="199"/>
      <c r="L18" s="198"/>
      <c r="M18" s="199"/>
      <c r="N18" s="198"/>
      <c r="O18" s="199"/>
      <c r="P18" s="198"/>
      <c r="Q18" s="199"/>
      <c r="R18" s="198"/>
      <c r="S18" s="199"/>
      <c r="T18" s="198"/>
      <c r="U18" s="577"/>
      <c r="V18" s="198"/>
      <c r="W18" s="577"/>
      <c r="X18" s="198"/>
      <c r="Y18" s="577"/>
      <c r="Z18" s="200"/>
      <c r="AA18" s="576"/>
      <c r="AB18" s="198"/>
      <c r="AC18" s="199"/>
      <c r="AD18" s="198"/>
      <c r="AE18" s="199"/>
      <c r="AF18" s="198"/>
      <c r="AG18" s="199"/>
      <c r="AH18" s="198"/>
      <c r="AI18" s="577"/>
      <c r="AJ18" s="207"/>
      <c r="AK18" s="577"/>
      <c r="AL18" s="1664"/>
      <c r="AM18" s="1664"/>
      <c r="AN18" s="1661"/>
      <c r="AO18" s="1657"/>
      <c r="AP18" s="1092"/>
      <c r="AQ18" s="1652"/>
      <c r="AR18" s="204"/>
      <c r="AS18" s="847"/>
      <c r="AT18" s="207"/>
      <c r="AU18" s="577"/>
      <c r="AV18" s="208">
        <f t="shared" si="0"/>
        <v>0</v>
      </c>
      <c r="AW18" s="848">
        <f t="shared" si="1"/>
        <v>0</v>
      </c>
      <c r="AX18" s="207"/>
      <c r="AY18" s="577"/>
      <c r="AZ18" s="208">
        <f t="shared" si="2"/>
        <v>0</v>
      </c>
      <c r="BA18" s="1646">
        <f t="shared" si="3"/>
        <v>0</v>
      </c>
    </row>
    <row r="19" spans="1:53" ht="16.5">
      <c r="A19" s="193" t="s">
        <v>90</v>
      </c>
      <c r="B19" s="194">
        <v>973</v>
      </c>
      <c r="C19" s="196">
        <v>395</v>
      </c>
      <c r="D19" s="197"/>
      <c r="E19" s="199"/>
      <c r="F19" s="198"/>
      <c r="G19" s="199"/>
      <c r="H19" s="198"/>
      <c r="I19" s="199"/>
      <c r="J19" s="198">
        <v>293</v>
      </c>
      <c r="K19" s="199">
        <v>140</v>
      </c>
      <c r="L19" s="198"/>
      <c r="M19" s="199"/>
      <c r="N19" s="198"/>
      <c r="O19" s="199"/>
      <c r="P19" s="198"/>
      <c r="Q19" s="199"/>
      <c r="R19" s="198"/>
      <c r="S19" s="199"/>
      <c r="T19" s="198"/>
      <c r="U19" s="577"/>
      <c r="V19" s="198"/>
      <c r="W19" s="577"/>
      <c r="X19" s="198"/>
      <c r="Y19" s="577"/>
      <c r="Z19" s="200"/>
      <c r="AA19" s="576"/>
      <c r="AB19" s="198"/>
      <c r="AC19" s="199"/>
      <c r="AD19" s="198"/>
      <c r="AE19" s="199"/>
      <c r="AF19" s="198"/>
      <c r="AG19" s="199"/>
      <c r="AH19" s="198">
        <v>2111</v>
      </c>
      <c r="AI19" s="577">
        <v>2429</v>
      </c>
      <c r="AJ19" s="207"/>
      <c r="AK19" s="577"/>
      <c r="AL19" s="1664"/>
      <c r="AM19" s="1664"/>
      <c r="AN19" s="1662"/>
      <c r="AO19" s="1162"/>
      <c r="AP19" s="1092"/>
      <c r="AQ19" s="1652"/>
      <c r="AR19" s="204"/>
      <c r="AS19" s="847"/>
      <c r="AT19" s="207"/>
      <c r="AU19" s="577"/>
      <c r="AV19" s="208">
        <f t="shared" si="0"/>
        <v>3377</v>
      </c>
      <c r="AW19" s="848">
        <f t="shared" si="1"/>
        <v>2964</v>
      </c>
      <c r="AX19" s="207"/>
      <c r="AY19" s="577"/>
      <c r="AZ19" s="208">
        <f t="shared" si="2"/>
        <v>3377</v>
      </c>
      <c r="BA19" s="1646">
        <f t="shared" si="3"/>
        <v>2964</v>
      </c>
    </row>
    <row r="20" spans="1:53" ht="16.5">
      <c r="A20" s="193" t="s">
        <v>91</v>
      </c>
      <c r="B20" s="194"/>
      <c r="C20" s="196"/>
      <c r="D20" s="197">
        <v>50</v>
      </c>
      <c r="E20" s="199">
        <v>63</v>
      </c>
      <c r="F20" s="198">
        <v>630</v>
      </c>
      <c r="G20" s="199"/>
      <c r="H20" s="198">
        <v>2245</v>
      </c>
      <c r="I20" s="199">
        <v>1262</v>
      </c>
      <c r="J20" s="198">
        <v>118</v>
      </c>
      <c r="K20" s="199"/>
      <c r="L20" s="198">
        <v>440</v>
      </c>
      <c r="M20" s="199">
        <v>440</v>
      </c>
      <c r="N20" s="198">
        <v>1994</v>
      </c>
      <c r="O20" s="199"/>
      <c r="P20" s="198">
        <v>500</v>
      </c>
      <c r="Q20" s="199">
        <v>763</v>
      </c>
      <c r="R20" s="198">
        <v>750</v>
      </c>
      <c r="S20" s="199">
        <v>1573</v>
      </c>
      <c r="T20" s="198">
        <v>768</v>
      </c>
      <c r="U20" s="577">
        <v>531</v>
      </c>
      <c r="V20" s="198">
        <v>3456</v>
      </c>
      <c r="W20" s="577">
        <v>3511</v>
      </c>
      <c r="X20" s="198"/>
      <c r="Y20" s="577"/>
      <c r="Z20" s="200">
        <v>298</v>
      </c>
      <c r="AA20" s="576">
        <v>300</v>
      </c>
      <c r="AB20" s="198">
        <v>55</v>
      </c>
      <c r="AC20" s="199">
        <v>155</v>
      </c>
      <c r="AD20" s="657">
        <v>1408</v>
      </c>
      <c r="AE20" s="1170">
        <v>1378</v>
      </c>
      <c r="AF20" s="198">
        <v>2911</v>
      </c>
      <c r="AG20" s="199">
        <v>4500</v>
      </c>
      <c r="AH20" s="209">
        <v>283</v>
      </c>
      <c r="AI20" s="577">
        <v>951</v>
      </c>
      <c r="AJ20" s="207">
        <v>920</v>
      </c>
      <c r="AK20" s="577">
        <v>3600</v>
      </c>
      <c r="AL20" s="1664"/>
      <c r="AM20" s="1664"/>
      <c r="AN20" s="1661">
        <v>1643</v>
      </c>
      <c r="AO20" s="1657">
        <v>1652</v>
      </c>
      <c r="AP20" s="1092"/>
      <c r="AQ20" s="1652"/>
      <c r="AR20" s="204">
        <v>3090</v>
      </c>
      <c r="AS20" s="847"/>
      <c r="AT20" s="207">
        <v>640</v>
      </c>
      <c r="AU20" s="577">
        <v>933</v>
      </c>
      <c r="AV20" s="194">
        <f t="shared" si="0"/>
        <v>22199</v>
      </c>
      <c r="AW20" s="1117">
        <f t="shared" si="1"/>
        <v>21612</v>
      </c>
      <c r="AX20" s="207"/>
      <c r="AY20" s="577"/>
      <c r="AZ20" s="194">
        <f t="shared" si="2"/>
        <v>22199</v>
      </c>
      <c r="BA20" s="1121">
        <f t="shared" si="3"/>
        <v>21612</v>
      </c>
    </row>
    <row r="21" spans="1:53" ht="17.25">
      <c r="A21" s="193" t="s">
        <v>92</v>
      </c>
      <c r="B21" s="194"/>
      <c r="C21" s="196"/>
      <c r="D21" s="197"/>
      <c r="E21" s="199"/>
      <c r="F21" s="198"/>
      <c r="G21" s="199"/>
      <c r="H21" s="198">
        <v>1059</v>
      </c>
      <c r="I21" s="199">
        <v>828</v>
      </c>
      <c r="J21" s="198"/>
      <c r="K21" s="199"/>
      <c r="L21" s="198"/>
      <c r="M21" s="199"/>
      <c r="N21" s="198">
        <v>615</v>
      </c>
      <c r="O21" s="199">
        <v>493</v>
      </c>
      <c r="P21" s="198">
        <v>200</v>
      </c>
      <c r="Q21" s="199">
        <v>280</v>
      </c>
      <c r="R21" s="198">
        <v>208</v>
      </c>
      <c r="S21" s="199">
        <v>300</v>
      </c>
      <c r="T21" s="198"/>
      <c r="U21" s="577"/>
      <c r="V21" s="198"/>
      <c r="W21" s="577"/>
      <c r="X21" s="198"/>
      <c r="Y21" s="577"/>
      <c r="Z21" s="200"/>
      <c r="AA21" s="576"/>
      <c r="AB21" s="198"/>
      <c r="AC21" s="199"/>
      <c r="AD21" s="198"/>
      <c r="AE21" s="199"/>
      <c r="AF21" s="198">
        <v>1362</v>
      </c>
      <c r="AG21" s="199">
        <v>2493</v>
      </c>
      <c r="AH21" s="213"/>
      <c r="AI21" s="577"/>
      <c r="AJ21" s="207"/>
      <c r="AK21" s="577"/>
      <c r="AL21" s="1664"/>
      <c r="AM21" s="1664"/>
      <c r="AN21" s="207">
        <v>289</v>
      </c>
      <c r="AO21" s="577">
        <v>423</v>
      </c>
      <c r="AP21" s="1092"/>
      <c r="AQ21" s="1652"/>
      <c r="AR21" s="204"/>
      <c r="AS21" s="847"/>
      <c r="AT21" s="207">
        <v>302</v>
      </c>
      <c r="AU21" s="577">
        <v>186</v>
      </c>
      <c r="AV21" s="208">
        <f t="shared" si="0"/>
        <v>4035</v>
      </c>
      <c r="AW21" s="848">
        <f t="shared" si="1"/>
        <v>5003</v>
      </c>
      <c r="AX21" s="204"/>
      <c r="AY21" s="847"/>
      <c r="AZ21" s="208">
        <f t="shared" si="2"/>
        <v>4035</v>
      </c>
      <c r="BA21" s="1646">
        <f t="shared" si="3"/>
        <v>5003</v>
      </c>
    </row>
    <row r="22" spans="1:53" ht="16.5">
      <c r="A22" s="193" t="s">
        <v>93</v>
      </c>
      <c r="B22" s="194">
        <v>1372193</v>
      </c>
      <c r="C22" s="196">
        <v>1853302</v>
      </c>
      <c r="D22" s="197">
        <v>444558</v>
      </c>
      <c r="E22" s="199">
        <v>358542</v>
      </c>
      <c r="F22" s="198">
        <v>305910</v>
      </c>
      <c r="G22" s="199"/>
      <c r="H22" s="198">
        <v>1133161</v>
      </c>
      <c r="I22" s="199">
        <v>1623009</v>
      </c>
      <c r="J22" s="198">
        <v>2590055</v>
      </c>
      <c r="K22" s="199">
        <v>2611018</v>
      </c>
      <c r="L22" s="198">
        <v>390928</v>
      </c>
      <c r="M22" s="199">
        <v>511868</v>
      </c>
      <c r="N22" s="198">
        <v>713690</v>
      </c>
      <c r="O22" s="199">
        <v>52163</v>
      </c>
      <c r="P22" s="198">
        <v>333362</v>
      </c>
      <c r="Q22" s="199">
        <v>418459</v>
      </c>
      <c r="R22" s="198">
        <v>316169</v>
      </c>
      <c r="S22" s="199">
        <v>316523</v>
      </c>
      <c r="T22" s="198">
        <v>901900</v>
      </c>
      <c r="U22" s="577">
        <v>528380</v>
      </c>
      <c r="V22" s="198">
        <v>9836533</v>
      </c>
      <c r="W22" s="577">
        <v>10695689</v>
      </c>
      <c r="X22" s="198"/>
      <c r="Y22" s="577">
        <v>8154772</v>
      </c>
      <c r="Z22" s="200">
        <v>233399</v>
      </c>
      <c r="AA22" s="576">
        <v>220155</v>
      </c>
      <c r="AB22" s="198">
        <v>464110</v>
      </c>
      <c r="AC22" s="199">
        <v>985836</v>
      </c>
      <c r="AD22" s="198">
        <v>799493</v>
      </c>
      <c r="AE22" s="199">
        <v>1107402</v>
      </c>
      <c r="AF22" s="198">
        <v>2703657</v>
      </c>
      <c r="AG22" s="199">
        <v>3044135</v>
      </c>
      <c r="AH22" s="198">
        <v>378157</v>
      </c>
      <c r="AI22" s="577">
        <v>545581</v>
      </c>
      <c r="AJ22" s="207">
        <v>708057</v>
      </c>
      <c r="AK22" s="577">
        <v>399541</v>
      </c>
      <c r="AL22" s="1664"/>
      <c r="AM22" s="1664"/>
      <c r="AN22" s="1661">
        <v>811463</v>
      </c>
      <c r="AO22" s="1657">
        <v>942596</v>
      </c>
      <c r="AP22" s="1092">
        <v>264704</v>
      </c>
      <c r="AQ22" s="1652">
        <v>281409</v>
      </c>
      <c r="AR22" s="204">
        <v>230508</v>
      </c>
      <c r="AS22" s="847">
        <v>249097</v>
      </c>
      <c r="AT22" s="207">
        <v>1713655</v>
      </c>
      <c r="AU22" s="577">
        <v>3519026</v>
      </c>
      <c r="AV22" s="208">
        <f t="shared" si="0"/>
        <v>26645662</v>
      </c>
      <c r="AW22" s="848">
        <f t="shared" si="1"/>
        <v>38418503</v>
      </c>
      <c r="AX22" s="204">
        <v>4022694</v>
      </c>
      <c r="AY22" s="847"/>
      <c r="AZ22" s="208">
        <f t="shared" si="2"/>
        <v>30668356</v>
      </c>
      <c r="BA22" s="1646">
        <f t="shared" si="3"/>
        <v>38418503</v>
      </c>
    </row>
    <row r="23" spans="1:53" ht="16.5">
      <c r="A23" s="193" t="s">
        <v>94</v>
      </c>
      <c r="B23" s="194">
        <v>90800</v>
      </c>
      <c r="C23" s="196">
        <v>100094</v>
      </c>
      <c r="D23" s="197">
        <v>27260</v>
      </c>
      <c r="E23" s="199">
        <v>27720</v>
      </c>
      <c r="F23" s="198">
        <v>27771</v>
      </c>
      <c r="G23" s="199"/>
      <c r="H23" s="198">
        <v>68111</v>
      </c>
      <c r="I23" s="199">
        <v>74699</v>
      </c>
      <c r="J23" s="198">
        <v>33001</v>
      </c>
      <c r="K23" s="199">
        <v>42918</v>
      </c>
      <c r="L23" s="198">
        <v>46748</v>
      </c>
      <c r="M23" s="199">
        <v>57976</v>
      </c>
      <c r="N23" s="198">
        <v>16373</v>
      </c>
      <c r="O23" s="199">
        <v>17667</v>
      </c>
      <c r="P23" s="198">
        <v>17103</v>
      </c>
      <c r="Q23" s="199">
        <v>22721</v>
      </c>
      <c r="R23" s="198">
        <v>71777</v>
      </c>
      <c r="S23" s="199">
        <v>78319</v>
      </c>
      <c r="T23" s="198">
        <v>8865</v>
      </c>
      <c r="U23" s="577">
        <v>24477</v>
      </c>
      <c r="V23" s="198">
        <v>134412</v>
      </c>
      <c r="W23" s="577">
        <v>170068</v>
      </c>
      <c r="X23" s="198"/>
      <c r="Y23" s="577">
        <v>188202</v>
      </c>
      <c r="Z23" s="200">
        <v>15958</v>
      </c>
      <c r="AA23" s="576">
        <v>23650</v>
      </c>
      <c r="AB23" s="198">
        <v>19267</v>
      </c>
      <c r="AC23" s="199">
        <v>22865</v>
      </c>
      <c r="AD23" s="198">
        <v>62123</v>
      </c>
      <c r="AE23" s="199">
        <v>64395</v>
      </c>
      <c r="AF23" s="657">
        <v>117673</v>
      </c>
      <c r="AG23" s="199">
        <v>127748</v>
      </c>
      <c r="AH23" s="198">
        <v>71905</v>
      </c>
      <c r="AI23" s="577">
        <v>56520</v>
      </c>
      <c r="AJ23" s="207">
        <v>81138</v>
      </c>
      <c r="AK23" s="577">
        <v>77595</v>
      </c>
      <c r="AL23" s="1664"/>
      <c r="AM23" s="1664"/>
      <c r="AN23" s="1661">
        <v>76711</v>
      </c>
      <c r="AO23" s="1657">
        <v>84857</v>
      </c>
      <c r="AP23" s="1092">
        <v>12693</v>
      </c>
      <c r="AQ23" s="1652">
        <v>10767</v>
      </c>
      <c r="AR23" s="204">
        <v>3778</v>
      </c>
      <c r="AS23" s="847">
        <v>3895</v>
      </c>
      <c r="AT23" s="207">
        <v>84049</v>
      </c>
      <c r="AU23" s="577">
        <v>113892</v>
      </c>
      <c r="AV23" s="208">
        <f t="shared" si="0"/>
        <v>1087516</v>
      </c>
      <c r="AW23" s="848">
        <f t="shared" si="1"/>
        <v>1391045</v>
      </c>
      <c r="AX23" s="204">
        <v>392324</v>
      </c>
      <c r="AY23" s="847"/>
      <c r="AZ23" s="208">
        <f t="shared" si="2"/>
        <v>1479840</v>
      </c>
      <c r="BA23" s="1646">
        <f t="shared" si="3"/>
        <v>1391045</v>
      </c>
    </row>
    <row r="24" spans="1:53" ht="16.5">
      <c r="A24" s="193" t="s">
        <v>95</v>
      </c>
      <c r="B24" s="194">
        <v>-5631</v>
      </c>
      <c r="C24" s="196">
        <v>8953</v>
      </c>
      <c r="D24" s="197"/>
      <c r="E24" s="199"/>
      <c r="F24" s="198"/>
      <c r="G24" s="199"/>
      <c r="H24" s="198"/>
      <c r="I24" s="199"/>
      <c r="J24" s="198">
        <v>485759</v>
      </c>
      <c r="K24" s="199">
        <v>418531</v>
      </c>
      <c r="L24" s="198"/>
      <c r="M24" s="199"/>
      <c r="N24" s="198">
        <v>18587</v>
      </c>
      <c r="O24" s="199">
        <v>6548</v>
      </c>
      <c r="P24" s="198"/>
      <c r="Q24" s="199"/>
      <c r="R24" s="198">
        <v>16363</v>
      </c>
      <c r="S24" s="199">
        <v>20352</v>
      </c>
      <c r="T24" s="198"/>
      <c r="U24" s="577"/>
      <c r="V24" s="198"/>
      <c r="W24" s="577"/>
      <c r="X24" s="198"/>
      <c r="Y24" s="577"/>
      <c r="Z24" s="200"/>
      <c r="AA24" s="576"/>
      <c r="AB24" s="198"/>
      <c r="AC24" s="199"/>
      <c r="AD24" s="198"/>
      <c r="AE24" s="199">
        <v>55248</v>
      </c>
      <c r="AF24" s="198">
        <v>238627</v>
      </c>
      <c r="AG24" s="199">
        <v>103493</v>
      </c>
      <c r="AH24" s="198">
        <v>64272</v>
      </c>
      <c r="AI24" s="577"/>
      <c r="AJ24" s="207"/>
      <c r="AK24" s="577"/>
      <c r="AL24" s="1664"/>
      <c r="AM24" s="1664"/>
      <c r="AN24" s="1661">
        <v>14968</v>
      </c>
      <c r="AO24" s="1657">
        <v>29664</v>
      </c>
      <c r="AP24" s="1092"/>
      <c r="AQ24" s="1652"/>
      <c r="AR24" s="204"/>
      <c r="AS24" s="847"/>
      <c r="AT24" s="207"/>
      <c r="AU24" s="577"/>
      <c r="AV24" s="208">
        <f t="shared" si="0"/>
        <v>832945</v>
      </c>
      <c r="AW24" s="848">
        <f t="shared" si="1"/>
        <v>642789</v>
      </c>
      <c r="AX24" s="204"/>
      <c r="AY24" s="847"/>
      <c r="AZ24" s="208">
        <f t="shared" si="2"/>
        <v>832945</v>
      </c>
      <c r="BA24" s="1646">
        <f t="shared" si="3"/>
        <v>642789</v>
      </c>
    </row>
    <row r="25" spans="1:53" ht="16.5">
      <c r="A25" s="193" t="s">
        <v>96</v>
      </c>
      <c r="B25" s="194">
        <v>663927</v>
      </c>
      <c r="C25" s="196">
        <v>688868</v>
      </c>
      <c r="D25" s="197">
        <v>241545</v>
      </c>
      <c r="E25" s="199">
        <v>240143</v>
      </c>
      <c r="F25" s="198">
        <v>190745</v>
      </c>
      <c r="G25" s="199"/>
      <c r="H25" s="198">
        <v>638948</v>
      </c>
      <c r="I25" s="199">
        <v>694560</v>
      </c>
      <c r="J25" s="198">
        <v>384132</v>
      </c>
      <c r="K25" s="199">
        <v>476340</v>
      </c>
      <c r="L25" s="198">
        <v>287405</v>
      </c>
      <c r="M25" s="199">
        <v>347468</v>
      </c>
      <c r="N25" s="198">
        <v>143179</v>
      </c>
      <c r="O25" s="199">
        <v>134319</v>
      </c>
      <c r="P25" s="198">
        <v>146754</v>
      </c>
      <c r="Q25" s="199">
        <v>225364</v>
      </c>
      <c r="R25" s="198"/>
      <c r="S25" s="199"/>
      <c r="T25" s="198">
        <v>91836</v>
      </c>
      <c r="U25" s="577">
        <v>129536</v>
      </c>
      <c r="V25" s="198">
        <v>1126869</v>
      </c>
      <c r="W25" s="577">
        <v>1197967</v>
      </c>
      <c r="X25" s="198">
        <v>240025</v>
      </c>
      <c r="Y25" s="577">
        <v>1005652</v>
      </c>
      <c r="Z25" s="200">
        <v>131544</v>
      </c>
      <c r="AA25" s="576">
        <v>159179</v>
      </c>
      <c r="AB25" s="198">
        <v>317341</v>
      </c>
      <c r="AC25" s="199">
        <v>444146</v>
      </c>
      <c r="AD25" s="657">
        <v>246770</v>
      </c>
      <c r="AE25" s="1170">
        <v>353040</v>
      </c>
      <c r="AF25" s="198">
        <v>542774</v>
      </c>
      <c r="AG25" s="199">
        <v>632435</v>
      </c>
      <c r="AH25" s="198">
        <v>321381</v>
      </c>
      <c r="AI25" s="577">
        <v>483246</v>
      </c>
      <c r="AJ25" s="207">
        <v>293722</v>
      </c>
      <c r="AK25" s="577">
        <v>345030</v>
      </c>
      <c r="AL25" s="1664"/>
      <c r="AM25" s="1664"/>
      <c r="AN25" s="1661">
        <v>651310</v>
      </c>
      <c r="AO25" s="1657">
        <v>842287</v>
      </c>
      <c r="AP25" s="1092">
        <v>176400</v>
      </c>
      <c r="AQ25" s="1652">
        <v>104750</v>
      </c>
      <c r="AR25" s="204">
        <v>149073</v>
      </c>
      <c r="AS25" s="847">
        <v>171007</v>
      </c>
      <c r="AT25" s="207">
        <v>464764</v>
      </c>
      <c r="AU25" s="577">
        <v>541928</v>
      </c>
      <c r="AV25" s="194">
        <f t="shared" si="0"/>
        <v>7450444</v>
      </c>
      <c r="AW25" s="1117">
        <f t="shared" si="1"/>
        <v>9217265</v>
      </c>
      <c r="AX25" s="207"/>
      <c r="AY25" s="577"/>
      <c r="AZ25" s="194">
        <f t="shared" si="2"/>
        <v>7450444</v>
      </c>
      <c r="BA25" s="1121">
        <f t="shared" si="3"/>
        <v>9217265</v>
      </c>
    </row>
    <row r="26" spans="1:53" ht="16.5">
      <c r="A26" s="193" t="s">
        <v>97</v>
      </c>
      <c r="B26" s="194"/>
      <c r="C26" s="196"/>
      <c r="D26" s="197">
        <v>1896</v>
      </c>
      <c r="E26" s="199">
        <v>1170</v>
      </c>
      <c r="F26" s="198">
        <v>19159</v>
      </c>
      <c r="G26" s="199"/>
      <c r="H26" s="198"/>
      <c r="I26" s="199">
        <v>242288</v>
      </c>
      <c r="J26" s="198"/>
      <c r="K26" s="199"/>
      <c r="L26" s="198"/>
      <c r="M26" s="199"/>
      <c r="N26" s="198"/>
      <c r="O26" s="199"/>
      <c r="P26" s="198">
        <v>8433</v>
      </c>
      <c r="Q26" s="199">
        <v>22512</v>
      </c>
      <c r="R26" s="198">
        <f>2336+9455</f>
        <v>11791</v>
      </c>
      <c r="S26" s="199">
        <v>79635</v>
      </c>
      <c r="T26" s="198">
        <v>5403</v>
      </c>
      <c r="U26" s="577">
        <v>10975</v>
      </c>
      <c r="V26" s="198">
        <v>28143</v>
      </c>
      <c r="W26" s="577">
        <v>77521</v>
      </c>
      <c r="X26" s="198">
        <v>-138075</v>
      </c>
      <c r="Y26" s="577">
        <v>20011</v>
      </c>
      <c r="Z26" s="200"/>
      <c r="AA26" s="576"/>
      <c r="AB26" s="198"/>
      <c r="AC26" s="199"/>
      <c r="AD26" s="198">
        <v>60199</v>
      </c>
      <c r="AE26" s="199">
        <v>96700</v>
      </c>
      <c r="AF26" s="202">
        <f>53125+32930</f>
        <v>86055</v>
      </c>
      <c r="AG26" s="199">
        <v>44330</v>
      </c>
      <c r="AH26" s="198"/>
      <c r="AI26" s="577"/>
      <c r="AJ26" s="207"/>
      <c r="AK26" s="577"/>
      <c r="AL26" s="1664"/>
      <c r="AM26" s="1664"/>
      <c r="AN26" s="1661">
        <v>107399</v>
      </c>
      <c r="AO26" s="1657">
        <v>113773</v>
      </c>
      <c r="AP26" s="1092">
        <v>4800</v>
      </c>
      <c r="AQ26" s="1652">
        <v>1967</v>
      </c>
      <c r="AR26" s="204">
        <v>43788</v>
      </c>
      <c r="AS26" s="847">
        <v>23092</v>
      </c>
      <c r="AT26" s="207"/>
      <c r="AU26" s="577"/>
      <c r="AV26" s="208">
        <f t="shared" si="0"/>
        <v>238991</v>
      </c>
      <c r="AW26" s="848">
        <f t="shared" si="1"/>
        <v>733974</v>
      </c>
      <c r="AX26" s="204">
        <v>30915717</v>
      </c>
      <c r="AY26" s="847"/>
      <c r="AZ26" s="208">
        <f t="shared" si="2"/>
        <v>31154708</v>
      </c>
      <c r="BA26" s="1646">
        <f t="shared" si="3"/>
        <v>733974</v>
      </c>
    </row>
    <row r="27" spans="1:53" ht="16.5">
      <c r="A27" s="193" t="s">
        <v>98</v>
      </c>
      <c r="B27" s="194">
        <v>330585</v>
      </c>
      <c r="C27" s="196">
        <v>244692</v>
      </c>
      <c r="D27" s="197">
        <v>83460</v>
      </c>
      <c r="E27" s="199">
        <v>68902</v>
      </c>
      <c r="F27" s="198"/>
      <c r="G27" s="199"/>
      <c r="H27" s="198">
        <v>375570</v>
      </c>
      <c r="I27" s="199">
        <v>384992</v>
      </c>
      <c r="J27" s="198">
        <v>87359</v>
      </c>
      <c r="K27" s="199">
        <v>96156</v>
      </c>
      <c r="L27" s="198"/>
      <c r="M27" s="199"/>
      <c r="N27" s="198">
        <v>195025</v>
      </c>
      <c r="O27" s="199">
        <v>97446</v>
      </c>
      <c r="P27" s="198">
        <v>52223</v>
      </c>
      <c r="Q27" s="199">
        <v>62623</v>
      </c>
      <c r="R27" s="198"/>
      <c r="S27" s="199"/>
      <c r="T27" s="198"/>
      <c r="U27" s="577"/>
      <c r="V27" s="198">
        <v>1036102</v>
      </c>
      <c r="W27" s="577">
        <v>1323997</v>
      </c>
      <c r="X27" s="198"/>
      <c r="Y27" s="577"/>
      <c r="Z27" s="200">
        <v>29234</v>
      </c>
      <c r="AA27" s="576">
        <v>23073</v>
      </c>
      <c r="AB27" s="198">
        <v>61335</v>
      </c>
      <c r="AC27" s="199">
        <v>169595</v>
      </c>
      <c r="AD27" s="198">
        <v>400154</v>
      </c>
      <c r="AE27" s="199">
        <v>423370</v>
      </c>
      <c r="AF27" s="202">
        <v>1131909</v>
      </c>
      <c r="AG27" s="199">
        <v>901483</v>
      </c>
      <c r="AH27" s="198"/>
      <c r="AI27" s="577"/>
      <c r="AJ27" s="207">
        <v>38235</v>
      </c>
      <c r="AK27" s="577">
        <v>22387</v>
      </c>
      <c r="AL27" s="1664"/>
      <c r="AM27" s="1664"/>
      <c r="AN27" s="1661">
        <v>625263</v>
      </c>
      <c r="AO27" s="1657">
        <v>927260</v>
      </c>
      <c r="AP27" s="1092"/>
      <c r="AQ27" s="1652"/>
      <c r="AR27" s="204">
        <v>29762</v>
      </c>
      <c r="AS27" s="847">
        <v>44058</v>
      </c>
      <c r="AT27" s="207">
        <v>297601</v>
      </c>
      <c r="AU27" s="577">
        <v>521080</v>
      </c>
      <c r="AV27" s="208">
        <f t="shared" si="0"/>
        <v>4773817</v>
      </c>
      <c r="AW27" s="848">
        <f t="shared" si="1"/>
        <v>5311114</v>
      </c>
      <c r="AX27" s="204">
        <v>2622935</v>
      </c>
      <c r="AY27" s="847"/>
      <c r="AZ27" s="208">
        <f t="shared" si="2"/>
        <v>7396752</v>
      </c>
      <c r="BA27" s="1646">
        <f t="shared" si="3"/>
        <v>5311114</v>
      </c>
    </row>
    <row r="28" spans="1:53" ht="16.5">
      <c r="A28" s="193" t="s">
        <v>99</v>
      </c>
      <c r="B28" s="194"/>
      <c r="C28" s="196">
        <v>292025</v>
      </c>
      <c r="D28" s="197">
        <v>114714</v>
      </c>
      <c r="E28" s="199">
        <v>190329</v>
      </c>
      <c r="F28" s="198">
        <v>74883</v>
      </c>
      <c r="G28" s="199"/>
      <c r="H28" s="198">
        <v>292081</v>
      </c>
      <c r="I28" s="199">
        <v>358431</v>
      </c>
      <c r="J28" s="198">
        <v>129631</v>
      </c>
      <c r="K28" s="199">
        <v>102827</v>
      </c>
      <c r="L28" s="198">
        <v>66120</v>
      </c>
      <c r="M28" s="199">
        <v>84708</v>
      </c>
      <c r="N28" s="198">
        <v>188576</v>
      </c>
      <c r="O28" s="199">
        <v>197439</v>
      </c>
      <c r="P28" s="198">
        <v>235296</v>
      </c>
      <c r="Q28" s="199">
        <v>252610</v>
      </c>
      <c r="R28" s="198">
        <v>157816</v>
      </c>
      <c r="S28" s="199">
        <v>147612</v>
      </c>
      <c r="T28" s="198">
        <v>146441</v>
      </c>
      <c r="U28" s="577">
        <v>184748</v>
      </c>
      <c r="V28" s="198">
        <v>405980</v>
      </c>
      <c r="W28" s="577">
        <v>465032</v>
      </c>
      <c r="X28" s="198">
        <v>567130</v>
      </c>
      <c r="Y28" s="577">
        <v>605415</v>
      </c>
      <c r="Z28" s="200">
        <v>108877</v>
      </c>
      <c r="AA28" s="576">
        <v>99513</v>
      </c>
      <c r="AB28" s="198">
        <v>142921</v>
      </c>
      <c r="AC28" s="199">
        <v>209812</v>
      </c>
      <c r="AD28" s="198">
        <v>379989</v>
      </c>
      <c r="AE28" s="199">
        <v>409446</v>
      </c>
      <c r="AF28" s="202">
        <v>707039</v>
      </c>
      <c r="AG28" s="199">
        <v>832188</v>
      </c>
      <c r="AH28" s="198">
        <v>265209</v>
      </c>
      <c r="AI28" s="577">
        <v>341496</v>
      </c>
      <c r="AJ28" s="207">
        <v>172576</v>
      </c>
      <c r="AK28" s="577">
        <v>254418</v>
      </c>
      <c r="AL28" s="1664"/>
      <c r="AM28" s="1664"/>
      <c r="AN28" s="1661">
        <v>910784</v>
      </c>
      <c r="AO28" s="1657">
        <v>888599</v>
      </c>
      <c r="AP28" s="1092">
        <v>71852</v>
      </c>
      <c r="AQ28" s="1652">
        <v>140694</v>
      </c>
      <c r="AR28" s="204">
        <v>108060</v>
      </c>
      <c r="AS28" s="847">
        <v>89717</v>
      </c>
      <c r="AT28" s="207">
        <f>515997+17501</f>
        <v>533498</v>
      </c>
      <c r="AU28" s="577">
        <v>497275</v>
      </c>
      <c r="AV28" s="208">
        <f t="shared" si="0"/>
        <v>5779473</v>
      </c>
      <c r="AW28" s="848">
        <f t="shared" si="1"/>
        <v>6644334</v>
      </c>
      <c r="AX28" s="204">
        <v>3334941</v>
      </c>
      <c r="AY28" s="847"/>
      <c r="AZ28" s="208">
        <f t="shared" si="2"/>
        <v>9114414</v>
      </c>
      <c r="BA28" s="1646">
        <f t="shared" si="3"/>
        <v>6644334</v>
      </c>
    </row>
    <row r="29" spans="1:53" ht="16.5">
      <c r="A29" s="193" t="s">
        <v>100</v>
      </c>
      <c r="B29" s="194">
        <v>-1483</v>
      </c>
      <c r="C29" s="196">
        <v>7093</v>
      </c>
      <c r="D29" s="197"/>
      <c r="E29" s="199"/>
      <c r="F29" s="198"/>
      <c r="G29" s="199"/>
      <c r="H29" s="198"/>
      <c r="I29" s="199"/>
      <c r="J29" s="198"/>
      <c r="K29" s="199"/>
      <c r="L29" s="198"/>
      <c r="M29" s="199"/>
      <c r="N29" s="198">
        <v>-370</v>
      </c>
      <c r="O29" s="199">
        <v>1021</v>
      </c>
      <c r="P29" s="198">
        <v>-183</v>
      </c>
      <c r="Q29" s="199">
        <v>-1606</v>
      </c>
      <c r="R29" s="198"/>
      <c r="S29" s="199"/>
      <c r="T29" s="198"/>
      <c r="U29" s="577"/>
      <c r="V29" s="198"/>
      <c r="W29" s="577"/>
      <c r="X29" s="198"/>
      <c r="Y29" s="577"/>
      <c r="Z29" s="200"/>
      <c r="AA29" s="576"/>
      <c r="AB29" s="198"/>
      <c r="AC29" s="199"/>
      <c r="AD29" s="198"/>
      <c r="AE29" s="199"/>
      <c r="AF29" s="202"/>
      <c r="AG29" s="199"/>
      <c r="AH29" s="198">
        <v>-3079</v>
      </c>
      <c r="AI29" s="577"/>
      <c r="AJ29" s="207"/>
      <c r="AK29" s="577"/>
      <c r="AL29" s="1664"/>
      <c r="AM29" s="1664"/>
      <c r="AN29" s="1661"/>
      <c r="AO29" s="1657"/>
      <c r="AP29" s="1092"/>
      <c r="AQ29" s="1652"/>
      <c r="AR29" s="204"/>
      <c r="AS29" s="847"/>
      <c r="AT29" s="207"/>
      <c r="AU29" s="577"/>
      <c r="AV29" s="208">
        <f t="shared" si="0"/>
        <v>-5115</v>
      </c>
      <c r="AW29" s="848">
        <f t="shared" si="1"/>
        <v>6508</v>
      </c>
      <c r="AX29" s="204"/>
      <c r="AY29" s="847"/>
      <c r="AZ29" s="208">
        <f t="shared" si="2"/>
        <v>-5115</v>
      </c>
      <c r="BA29" s="1646">
        <f t="shared" si="3"/>
        <v>6508</v>
      </c>
    </row>
    <row r="30" spans="1:53" ht="16.5">
      <c r="A30" s="193" t="s">
        <v>101</v>
      </c>
      <c r="B30" s="194">
        <v>355551</v>
      </c>
      <c r="C30" s="196">
        <v>-7879</v>
      </c>
      <c r="D30" s="197"/>
      <c r="E30" s="199"/>
      <c r="F30" s="198"/>
      <c r="G30" s="199"/>
      <c r="H30" s="198"/>
      <c r="I30" s="199"/>
      <c r="J30" s="198"/>
      <c r="K30" s="199"/>
      <c r="L30" s="198"/>
      <c r="M30" s="199"/>
      <c r="N30" s="198">
        <v>31158</v>
      </c>
      <c r="O30" s="199">
        <v>22723</v>
      </c>
      <c r="P30" s="198"/>
      <c r="Q30" s="199"/>
      <c r="R30" s="198"/>
      <c r="S30" s="199"/>
      <c r="T30" s="198"/>
      <c r="U30" s="577"/>
      <c r="V30" s="198"/>
      <c r="W30" s="577"/>
      <c r="X30" s="198"/>
      <c r="Y30" s="577"/>
      <c r="Z30" s="200"/>
      <c r="AA30" s="576"/>
      <c r="AB30" s="198"/>
      <c r="AC30" s="199"/>
      <c r="AD30" s="198"/>
      <c r="AE30" s="199"/>
      <c r="AF30" s="202"/>
      <c r="AG30" s="199"/>
      <c r="AH30" s="198"/>
      <c r="AI30" s="577"/>
      <c r="AJ30" s="207"/>
      <c r="AK30" s="577"/>
      <c r="AL30" s="1664"/>
      <c r="AM30" s="1664"/>
      <c r="AN30" s="1661"/>
      <c r="AO30" s="1657"/>
      <c r="AP30" s="1092"/>
      <c r="AQ30" s="1652"/>
      <c r="AR30" s="204"/>
      <c r="AS30" s="847"/>
      <c r="AT30" s="207"/>
      <c r="AU30" s="577"/>
      <c r="AV30" s="208">
        <f t="shared" si="0"/>
        <v>386709</v>
      </c>
      <c r="AW30" s="848">
        <f t="shared" si="1"/>
        <v>14844</v>
      </c>
      <c r="AX30" s="204">
        <v>29172987</v>
      </c>
      <c r="AY30" s="847"/>
      <c r="AZ30" s="208">
        <f t="shared" si="2"/>
        <v>29559696</v>
      </c>
      <c r="BA30" s="1646">
        <f t="shared" si="3"/>
        <v>14844</v>
      </c>
    </row>
    <row r="31" spans="1:53" ht="16.5">
      <c r="A31" s="193" t="s">
        <v>102</v>
      </c>
      <c r="B31" s="194"/>
      <c r="C31" s="196"/>
      <c r="D31" s="197">
        <v>68869</v>
      </c>
      <c r="E31" s="199">
        <v>38628</v>
      </c>
      <c r="F31" s="198"/>
      <c r="G31" s="199"/>
      <c r="H31" s="198">
        <v>729198</v>
      </c>
      <c r="I31" s="199">
        <v>139762</v>
      </c>
      <c r="J31" s="198"/>
      <c r="K31" s="199">
        <v>26005</v>
      </c>
      <c r="L31" s="198"/>
      <c r="M31" s="199"/>
      <c r="N31" s="198">
        <v>297327</v>
      </c>
      <c r="O31" s="199">
        <v>49522</v>
      </c>
      <c r="P31" s="198">
        <v>433233</v>
      </c>
      <c r="Q31" s="199">
        <v>379482</v>
      </c>
      <c r="R31" s="198">
        <v>1866685</v>
      </c>
      <c r="S31" s="199">
        <v>1883886</v>
      </c>
      <c r="T31" s="198"/>
      <c r="U31" s="577"/>
      <c r="V31" s="198">
        <v>6365530</v>
      </c>
      <c r="W31" s="577">
        <v>6120905</v>
      </c>
      <c r="X31" s="198"/>
      <c r="Y31" s="577">
        <v>1391533</v>
      </c>
      <c r="Z31" s="200">
        <v>279200</v>
      </c>
      <c r="AA31" s="576">
        <v>213928</v>
      </c>
      <c r="AB31" s="198"/>
      <c r="AC31" s="199"/>
      <c r="AD31" s="198">
        <v>1017989</v>
      </c>
      <c r="AE31" s="199">
        <v>1368397</v>
      </c>
      <c r="AF31" s="202"/>
      <c r="AG31" s="199"/>
      <c r="AH31" s="198">
        <v>976255</v>
      </c>
      <c r="AI31" s="577">
        <v>355415</v>
      </c>
      <c r="AJ31" s="207">
        <v>409421</v>
      </c>
      <c r="AK31" s="577">
        <v>3600</v>
      </c>
      <c r="AL31" s="1664"/>
      <c r="AM31" s="1664"/>
      <c r="AN31" s="1661">
        <v>305516</v>
      </c>
      <c r="AO31" s="1657"/>
      <c r="AP31" s="1092"/>
      <c r="AQ31" s="1652"/>
      <c r="AR31" s="204">
        <v>128624</v>
      </c>
      <c r="AS31" s="847">
        <v>106314</v>
      </c>
      <c r="AT31" s="207">
        <f>380105+2944</f>
        <v>383049</v>
      </c>
      <c r="AU31" s="577">
        <f>108433+11759</f>
        <v>120192</v>
      </c>
      <c r="AV31" s="208">
        <f t="shared" si="0"/>
        <v>13260896</v>
      </c>
      <c r="AW31" s="848">
        <f t="shared" si="1"/>
        <v>12197569</v>
      </c>
      <c r="AX31" s="204"/>
      <c r="AY31" s="847"/>
      <c r="AZ31" s="208">
        <f t="shared" si="2"/>
        <v>13260896</v>
      </c>
      <c r="BA31" s="1646">
        <f t="shared" si="3"/>
        <v>12197569</v>
      </c>
    </row>
    <row r="32" spans="1:53" ht="16.5">
      <c r="A32" s="193" t="s">
        <v>103</v>
      </c>
      <c r="B32" s="194"/>
      <c r="C32" s="196"/>
      <c r="D32" s="197">
        <v>86162</v>
      </c>
      <c r="E32" s="199">
        <v>96045</v>
      </c>
      <c r="F32" s="198"/>
      <c r="G32" s="199"/>
      <c r="H32" s="198"/>
      <c r="I32" s="199"/>
      <c r="J32" s="198"/>
      <c r="K32" s="199"/>
      <c r="L32" s="198"/>
      <c r="M32" s="199"/>
      <c r="N32" s="198"/>
      <c r="O32" s="199"/>
      <c r="P32" s="198">
        <v>147440</v>
      </c>
      <c r="Q32" s="199">
        <v>186373</v>
      </c>
      <c r="R32" s="198"/>
      <c r="S32" s="199"/>
      <c r="T32" s="198"/>
      <c r="U32" s="577"/>
      <c r="V32" s="198"/>
      <c r="W32" s="577"/>
      <c r="X32" s="198">
        <f>921725+274215</f>
        <v>1195940</v>
      </c>
      <c r="Y32" s="577"/>
      <c r="Z32" s="200"/>
      <c r="AA32" s="576"/>
      <c r="AB32" s="198"/>
      <c r="AC32" s="199"/>
      <c r="AD32" s="198">
        <v>154350</v>
      </c>
      <c r="AE32" s="199"/>
      <c r="AF32" s="202"/>
      <c r="AG32" s="199"/>
      <c r="AH32" s="198"/>
      <c r="AI32" s="577"/>
      <c r="AJ32" s="207">
        <v>245776</v>
      </c>
      <c r="AK32" s="577">
        <v>255754</v>
      </c>
      <c r="AL32" s="1664"/>
      <c r="AM32" s="1664"/>
      <c r="AN32" s="1661"/>
      <c r="AO32" s="1657"/>
      <c r="AP32" s="1092"/>
      <c r="AQ32" s="1652"/>
      <c r="AR32" s="204"/>
      <c r="AS32" s="847"/>
      <c r="AT32" s="207"/>
      <c r="AU32" s="577"/>
      <c r="AV32" s="208">
        <f t="shared" si="0"/>
        <v>1829668</v>
      </c>
      <c r="AW32" s="848">
        <f t="shared" si="1"/>
        <v>538172</v>
      </c>
      <c r="AX32" s="204"/>
      <c r="AY32" s="847"/>
      <c r="AZ32" s="208">
        <f t="shared" si="2"/>
        <v>1829668</v>
      </c>
      <c r="BA32" s="1646">
        <f t="shared" si="3"/>
        <v>538172</v>
      </c>
    </row>
    <row r="33" spans="1:53" ht="16.5">
      <c r="A33" s="193" t="s">
        <v>104</v>
      </c>
      <c r="B33" s="194"/>
      <c r="C33" s="196"/>
      <c r="D33" s="197">
        <v>21517</v>
      </c>
      <c r="E33" s="199">
        <v>19468</v>
      </c>
      <c r="F33" s="198"/>
      <c r="G33" s="199"/>
      <c r="H33" s="198">
        <v>210187</v>
      </c>
      <c r="I33" s="199"/>
      <c r="J33" s="198">
        <f>26411+48621+13145+22245+3830</f>
        <v>114252</v>
      </c>
      <c r="K33" s="199"/>
      <c r="L33" s="198"/>
      <c r="M33" s="199"/>
      <c r="N33" s="198"/>
      <c r="O33" s="199"/>
      <c r="P33" s="198"/>
      <c r="Q33" s="199"/>
      <c r="R33" s="198"/>
      <c r="S33" s="199"/>
      <c r="T33" s="198">
        <v>11635</v>
      </c>
      <c r="U33" s="577">
        <v>4594</v>
      </c>
      <c r="V33" s="198">
        <v>584480</v>
      </c>
      <c r="W33" s="577">
        <v>814946</v>
      </c>
      <c r="X33" s="198">
        <v>1821880</v>
      </c>
      <c r="Y33" s="577">
        <v>243034</v>
      </c>
      <c r="Z33" s="200"/>
      <c r="AA33" s="576">
        <v>33847</v>
      </c>
      <c r="AB33" s="198">
        <v>28045</v>
      </c>
      <c r="AC33" s="199">
        <f>37406</f>
        <v>37406</v>
      </c>
      <c r="AD33" s="198">
        <v>456495</v>
      </c>
      <c r="AE33" s="199">
        <v>309071</v>
      </c>
      <c r="AF33" s="202">
        <f>13029+40540</f>
        <v>53569</v>
      </c>
      <c r="AG33" s="199">
        <f>14458</f>
        <v>14458</v>
      </c>
      <c r="AH33" s="198">
        <v>124534</v>
      </c>
      <c r="AI33" s="577">
        <v>128162</v>
      </c>
      <c r="AJ33" s="207">
        <v>95754</v>
      </c>
      <c r="AK33" s="577"/>
      <c r="AL33" s="1664"/>
      <c r="AM33" s="1664"/>
      <c r="AN33" s="1661"/>
      <c r="AO33" s="1657"/>
      <c r="AP33" s="1092"/>
      <c r="AQ33" s="1652"/>
      <c r="AR33" s="204"/>
      <c r="AS33" s="847"/>
      <c r="AT33" s="207">
        <v>158078</v>
      </c>
      <c r="AU33" s="209">
        <v>55977</v>
      </c>
      <c r="AV33" s="208">
        <f t="shared" si="0"/>
        <v>3680426</v>
      </c>
      <c r="AW33" s="848">
        <f t="shared" si="1"/>
        <v>1660963</v>
      </c>
      <c r="AX33" s="204"/>
      <c r="AY33" s="847"/>
      <c r="AZ33" s="208">
        <f t="shared" si="2"/>
        <v>3680426</v>
      </c>
      <c r="BA33" s="1646">
        <f t="shared" si="3"/>
        <v>1660963</v>
      </c>
    </row>
    <row r="34" spans="1:53" ht="16.5">
      <c r="A34" s="193" t="s">
        <v>105</v>
      </c>
      <c r="B34" s="194">
        <v>138562</v>
      </c>
      <c r="C34" s="196">
        <v>125277</v>
      </c>
      <c r="D34" s="197">
        <v>15851</v>
      </c>
      <c r="E34" s="199">
        <v>14082</v>
      </c>
      <c r="F34" s="198">
        <v>47599</v>
      </c>
      <c r="G34" s="199"/>
      <c r="H34" s="198">
        <v>119618</v>
      </c>
      <c r="I34" s="199">
        <v>136012</v>
      </c>
      <c r="J34" s="198">
        <v>38855</v>
      </c>
      <c r="K34" s="199">
        <v>50423</v>
      </c>
      <c r="L34" s="198"/>
      <c r="M34" s="199"/>
      <c r="N34" s="198">
        <v>31183</v>
      </c>
      <c r="O34" s="199">
        <v>29395</v>
      </c>
      <c r="P34" s="198"/>
      <c r="Q34" s="199"/>
      <c r="R34" s="198">
        <v>73670</v>
      </c>
      <c r="S34" s="199">
        <v>75952</v>
      </c>
      <c r="T34" s="198"/>
      <c r="U34" s="577"/>
      <c r="V34" s="198"/>
      <c r="W34" s="577"/>
      <c r="X34" s="198"/>
      <c r="Y34" s="577"/>
      <c r="Z34" s="200">
        <v>24023</v>
      </c>
      <c r="AA34" s="576">
        <v>20462</v>
      </c>
      <c r="AB34" s="198"/>
      <c r="AC34" s="199"/>
      <c r="AD34" s="198">
        <v>103456</v>
      </c>
      <c r="AE34" s="199">
        <v>101751</v>
      </c>
      <c r="AF34" s="202">
        <v>298719</v>
      </c>
      <c r="AG34" s="199">
        <v>196304</v>
      </c>
      <c r="AH34" s="198"/>
      <c r="AI34" s="577"/>
      <c r="AJ34" s="207"/>
      <c r="AK34" s="577"/>
      <c r="AL34" s="1664"/>
      <c r="AM34" s="1664"/>
      <c r="AN34" s="1661"/>
      <c r="AO34" s="1657"/>
      <c r="AP34" s="1092"/>
      <c r="AQ34" s="1652"/>
      <c r="AR34" s="204"/>
      <c r="AS34" s="847"/>
      <c r="AT34" s="207"/>
      <c r="AU34" s="577"/>
      <c r="AV34" s="208">
        <f t="shared" si="0"/>
        <v>891536</v>
      </c>
      <c r="AW34" s="848">
        <f t="shared" si="1"/>
        <v>749658</v>
      </c>
      <c r="AX34" s="204">
        <v>2515119</v>
      </c>
      <c r="AY34" s="847"/>
      <c r="AZ34" s="208">
        <f t="shared" si="2"/>
        <v>3406655</v>
      </c>
      <c r="BA34" s="1646">
        <f t="shared" si="3"/>
        <v>749658</v>
      </c>
    </row>
    <row r="35" spans="1:53" ht="16.5">
      <c r="A35" s="193" t="s">
        <v>106</v>
      </c>
      <c r="B35" s="194">
        <v>171149</v>
      </c>
      <c r="C35" s="196">
        <v>101811</v>
      </c>
      <c r="D35" s="197">
        <v>20873</v>
      </c>
      <c r="E35" s="199">
        <v>44278</v>
      </c>
      <c r="F35" s="198">
        <v>15145</v>
      </c>
      <c r="G35" s="199"/>
      <c r="H35" s="198"/>
      <c r="I35" s="199"/>
      <c r="J35" s="198"/>
      <c r="K35" s="199"/>
      <c r="L35" s="198"/>
      <c r="M35" s="199"/>
      <c r="N35" s="198"/>
      <c r="O35" s="199"/>
      <c r="P35" s="198"/>
      <c r="Q35" s="199"/>
      <c r="R35" s="198"/>
      <c r="S35" s="199"/>
      <c r="T35" s="198"/>
      <c r="U35" s="577"/>
      <c r="V35" s="198"/>
      <c r="W35" s="577"/>
      <c r="X35" s="198"/>
      <c r="Y35" s="577"/>
      <c r="Z35" s="200"/>
      <c r="AA35" s="576"/>
      <c r="AB35" s="198"/>
      <c r="AC35" s="199"/>
      <c r="AD35" s="198">
        <v>54364</v>
      </c>
      <c r="AE35" s="199"/>
      <c r="AF35" s="202"/>
      <c r="AG35" s="199"/>
      <c r="AH35" s="198"/>
      <c r="AI35" s="577">
        <v>72062</v>
      </c>
      <c r="AJ35" s="207"/>
      <c r="AK35" s="577"/>
      <c r="AL35" s="1664"/>
      <c r="AM35" s="1664"/>
      <c r="AN35" s="1661"/>
      <c r="AO35" s="1657"/>
      <c r="AP35" s="1092"/>
      <c r="AQ35" s="1652"/>
      <c r="AR35" s="204"/>
      <c r="AS35" s="847"/>
      <c r="AT35" s="1650"/>
      <c r="AU35" s="209"/>
      <c r="AV35" s="208">
        <f t="shared" si="0"/>
        <v>261531</v>
      </c>
      <c r="AW35" s="848">
        <f t="shared" si="1"/>
        <v>218151</v>
      </c>
      <c r="AX35" s="204"/>
      <c r="AY35" s="847"/>
      <c r="AZ35" s="208">
        <f t="shared" si="2"/>
        <v>261531</v>
      </c>
      <c r="BA35" s="1646">
        <f t="shared" si="3"/>
        <v>218151</v>
      </c>
    </row>
    <row r="36" spans="1:53" ht="16.5">
      <c r="A36" s="193" t="s">
        <v>107</v>
      </c>
      <c r="B36" s="194">
        <v>53006</v>
      </c>
      <c r="C36" s="196">
        <v>77331</v>
      </c>
      <c r="D36" s="197">
        <v>17097</v>
      </c>
      <c r="E36" s="199">
        <v>8764</v>
      </c>
      <c r="F36" s="198">
        <v>16458</v>
      </c>
      <c r="G36" s="199"/>
      <c r="H36" s="198">
        <v>106232</v>
      </c>
      <c r="I36" s="199">
        <f>494918+139762</f>
        <v>634680</v>
      </c>
      <c r="J36" s="198">
        <v>71257</v>
      </c>
      <c r="K36" s="199">
        <f>15039+23970+64547+20727+5007</f>
        <v>129290</v>
      </c>
      <c r="L36" s="198">
        <v>164213</v>
      </c>
      <c r="M36" s="199">
        <v>187259</v>
      </c>
      <c r="N36" s="198">
        <f>150002+43</f>
        <v>150045</v>
      </c>
      <c r="O36" s="199">
        <f>107675+1021+56</f>
        <v>108752</v>
      </c>
      <c r="P36" s="198">
        <v>26558</v>
      </c>
      <c r="Q36" s="199">
        <v>30064</v>
      </c>
      <c r="R36" s="198">
        <f>-10+36225+4072</f>
        <v>40287</v>
      </c>
      <c r="S36" s="199">
        <f>7314+31863</f>
        <v>39177</v>
      </c>
      <c r="T36" s="198">
        <v>13267</v>
      </c>
      <c r="U36" s="577">
        <v>18106</v>
      </c>
      <c r="V36" s="198">
        <v>46057</v>
      </c>
      <c r="W36" s="577"/>
      <c r="X36" s="198">
        <v>141216</v>
      </c>
      <c r="Y36" s="577">
        <f>317639+221656</f>
        <v>539295</v>
      </c>
      <c r="Z36" s="200">
        <f>26264+14696</f>
        <v>40960</v>
      </c>
      <c r="AA36" s="576">
        <f>44264+12884</f>
        <v>57148</v>
      </c>
      <c r="AB36" s="198"/>
      <c r="AC36" s="199"/>
      <c r="AD36" s="657">
        <f>8072+266158</f>
        <v>274230</v>
      </c>
      <c r="AE36" s="1170">
        <f>22726+208756</f>
        <v>231482</v>
      </c>
      <c r="AF36" s="202">
        <f>214+46936</f>
        <v>47150</v>
      </c>
      <c r="AG36" s="199">
        <f>33697+2567+112989</f>
        <v>149253</v>
      </c>
      <c r="AH36" s="198">
        <v>6747</v>
      </c>
      <c r="AI36" s="577">
        <v>41164</v>
      </c>
      <c r="AJ36" s="207">
        <v>19124</v>
      </c>
      <c r="AK36" s="577">
        <v>83784</v>
      </c>
      <c r="AL36" s="1664"/>
      <c r="AM36" s="1664"/>
      <c r="AN36" s="1661">
        <v>907427</v>
      </c>
      <c r="AO36" s="1657">
        <v>1120956</v>
      </c>
      <c r="AP36" s="1092">
        <v>498841</v>
      </c>
      <c r="AQ36" s="1652">
        <v>322042</v>
      </c>
      <c r="AR36" s="204">
        <v>23914</v>
      </c>
      <c r="AS36" s="847">
        <v>34124</v>
      </c>
      <c r="AT36" s="207">
        <v>6950</v>
      </c>
      <c r="AU36" s="577">
        <v>5750</v>
      </c>
      <c r="AV36" s="194">
        <f t="shared" si="0"/>
        <v>2671036</v>
      </c>
      <c r="AW36" s="1117">
        <f t="shared" si="1"/>
        <v>3818421</v>
      </c>
      <c r="AX36" s="207">
        <f>1252977+108783+32789+4415099</f>
        <v>5809648</v>
      </c>
      <c r="AY36" s="577"/>
      <c r="AZ36" s="194">
        <f t="shared" si="2"/>
        <v>8480684</v>
      </c>
      <c r="BA36" s="1121">
        <f t="shared" si="3"/>
        <v>3818421</v>
      </c>
    </row>
    <row r="37" spans="1:53" ht="16.5">
      <c r="A37" s="221" t="s">
        <v>108</v>
      </c>
      <c r="B37" s="1669">
        <v>306773</v>
      </c>
      <c r="C37" s="228">
        <v>307059</v>
      </c>
      <c r="D37" s="1667"/>
      <c r="E37" s="225"/>
      <c r="F37" s="224"/>
      <c r="G37" s="225"/>
      <c r="H37" s="224"/>
      <c r="I37" s="225"/>
      <c r="J37" s="224"/>
      <c r="K37" s="225"/>
      <c r="L37" s="224"/>
      <c r="M37" s="225"/>
      <c r="N37" s="224"/>
      <c r="O37" s="225"/>
      <c r="P37" s="224"/>
      <c r="Q37" s="225"/>
      <c r="R37" s="224"/>
      <c r="S37" s="225"/>
      <c r="T37" s="224">
        <v>61061</v>
      </c>
      <c r="U37" s="580">
        <v>73828</v>
      </c>
      <c r="V37" s="224"/>
      <c r="W37" s="580"/>
      <c r="X37" s="224"/>
      <c r="Y37" s="580"/>
      <c r="Z37" s="223"/>
      <c r="AA37" s="578"/>
      <c r="AB37" s="224">
        <v>78154</v>
      </c>
      <c r="AC37" s="225">
        <v>109029</v>
      </c>
      <c r="AD37" s="1171"/>
      <c r="AE37" s="1172"/>
      <c r="AF37" s="226"/>
      <c r="AG37" s="225"/>
      <c r="AH37" s="224"/>
      <c r="AI37" s="580"/>
      <c r="AJ37" s="1648"/>
      <c r="AK37" s="580"/>
      <c r="AL37" s="1665"/>
      <c r="AM37" s="1665"/>
      <c r="AN37" s="1663"/>
      <c r="AO37" s="1658"/>
      <c r="AP37" s="1659"/>
      <c r="AQ37" s="1653"/>
      <c r="AR37" s="204"/>
      <c r="AS37" s="847"/>
      <c r="AT37" s="1648"/>
      <c r="AU37" s="580"/>
      <c r="AV37" s="194">
        <f t="shared" si="0"/>
        <v>445988</v>
      </c>
      <c r="AW37" s="1117">
        <f t="shared" si="1"/>
        <v>489916</v>
      </c>
      <c r="AX37" s="1648"/>
      <c r="AY37" s="580"/>
      <c r="AZ37" s="194">
        <f t="shared" si="2"/>
        <v>445988</v>
      </c>
      <c r="BA37" s="1121">
        <f t="shared" si="3"/>
        <v>489916</v>
      </c>
    </row>
    <row r="38" spans="1:53" ht="17.25" thickBot="1">
      <c r="A38" s="843" t="s">
        <v>109</v>
      </c>
      <c r="B38" s="1669">
        <v>-820100</v>
      </c>
      <c r="C38" s="228"/>
      <c r="D38" s="1667">
        <v>-673562</v>
      </c>
      <c r="E38" s="225"/>
      <c r="F38" s="224"/>
      <c r="G38" s="225"/>
      <c r="H38" s="224"/>
      <c r="I38" s="225"/>
      <c r="J38" s="224"/>
      <c r="K38" s="225"/>
      <c r="L38" s="224"/>
      <c r="M38" s="225"/>
      <c r="N38" s="224"/>
      <c r="O38" s="225"/>
      <c r="P38" s="224">
        <v>-2019869</v>
      </c>
      <c r="Q38" s="225"/>
      <c r="R38" s="224">
        <v>1601451</v>
      </c>
      <c r="S38" s="225"/>
      <c r="T38" s="224"/>
      <c r="U38" s="580"/>
      <c r="V38" s="224"/>
      <c r="W38" s="580"/>
      <c r="X38" s="224"/>
      <c r="Y38" s="580"/>
      <c r="Z38" s="227"/>
      <c r="AA38" s="575"/>
      <c r="AB38" s="224"/>
      <c r="AC38" s="225"/>
      <c r="AD38" s="224"/>
      <c r="AE38" s="225"/>
      <c r="AF38" s="226"/>
      <c r="AG38" s="225"/>
      <c r="AH38" s="224"/>
      <c r="AI38" s="580"/>
      <c r="AJ38" s="1648">
        <v>793569</v>
      </c>
      <c r="AK38" s="580"/>
      <c r="AL38" s="1665"/>
      <c r="AM38" s="1665"/>
      <c r="AN38" s="1648"/>
      <c r="AO38" s="580"/>
      <c r="AP38" s="1659"/>
      <c r="AQ38" s="1653"/>
      <c r="AR38" s="1655"/>
      <c r="AS38" s="575"/>
      <c r="AT38" s="1648"/>
      <c r="AU38" s="580"/>
      <c r="AV38" s="222">
        <f t="shared" si="0"/>
        <v>-1118511</v>
      </c>
      <c r="AW38" s="849">
        <f t="shared" si="1"/>
        <v>0</v>
      </c>
      <c r="AX38" s="1648"/>
      <c r="AY38" s="580"/>
      <c r="AZ38" s="222">
        <f t="shared" si="2"/>
        <v>-1118511</v>
      </c>
      <c r="BA38" s="229">
        <f t="shared" si="3"/>
        <v>0</v>
      </c>
    </row>
    <row r="39" spans="1:53" s="842" customFormat="1" ht="18.75" thickBot="1">
      <c r="A39" s="1173" t="s">
        <v>54</v>
      </c>
      <c r="B39" s="1647">
        <v>11003413</v>
      </c>
      <c r="C39" s="840">
        <v>12441542</v>
      </c>
      <c r="D39" s="1668">
        <v>1643872</v>
      </c>
      <c r="E39" s="839">
        <v>2209939</v>
      </c>
      <c r="F39" s="839">
        <v>3293888</v>
      </c>
      <c r="G39" s="839"/>
      <c r="H39" s="839">
        <v>15582897</v>
      </c>
      <c r="I39" s="839">
        <v>17632272</v>
      </c>
      <c r="J39" s="839">
        <v>4528832</v>
      </c>
      <c r="K39" s="839">
        <v>7573627</v>
      </c>
      <c r="L39" s="839">
        <v>4074133</v>
      </c>
      <c r="M39" s="839">
        <v>5250696</v>
      </c>
      <c r="N39" s="839">
        <v>5353533</v>
      </c>
      <c r="O39" s="839">
        <v>3303107</v>
      </c>
      <c r="P39" s="839">
        <v>3062183</v>
      </c>
      <c r="Q39" s="839">
        <v>5692878</v>
      </c>
      <c r="R39" s="839">
        <v>5829454</v>
      </c>
      <c r="S39" s="839">
        <v>8091759</v>
      </c>
      <c r="T39" s="839">
        <v>6386504</v>
      </c>
      <c r="U39" s="839">
        <v>6213663</v>
      </c>
      <c r="V39" s="839">
        <v>38135732</v>
      </c>
      <c r="W39" s="839">
        <v>42668968</v>
      </c>
      <c r="X39" s="839">
        <v>26053211</v>
      </c>
      <c r="Y39" s="839"/>
      <c r="Z39" s="839">
        <v>2564781</v>
      </c>
      <c r="AA39" s="839">
        <v>2447301</v>
      </c>
      <c r="AB39" s="839">
        <v>3420003</v>
      </c>
      <c r="AC39" s="840">
        <v>4917884</v>
      </c>
      <c r="AD39" s="839">
        <v>13297360</v>
      </c>
      <c r="AE39" s="840">
        <v>14590099</v>
      </c>
      <c r="AF39" s="841">
        <v>19273633</v>
      </c>
      <c r="AG39" s="840">
        <v>23441067</v>
      </c>
      <c r="AH39" s="839">
        <v>9090734</v>
      </c>
      <c r="AI39" s="1666">
        <v>9071068</v>
      </c>
      <c r="AJ39" s="1647">
        <v>8959679</v>
      </c>
      <c r="AK39" s="839">
        <v>10005390</v>
      </c>
      <c r="AL39" s="1647"/>
      <c r="AM39" s="1647"/>
      <c r="AN39" s="1647">
        <v>21235030</v>
      </c>
      <c r="AO39" s="839">
        <v>24130848</v>
      </c>
      <c r="AP39" s="1647">
        <v>4796030</v>
      </c>
      <c r="AQ39" s="839">
        <v>5088607</v>
      </c>
      <c r="AR39" s="1651">
        <v>3175006</v>
      </c>
      <c r="AS39" s="1649">
        <v>3668329</v>
      </c>
      <c r="AT39" s="1651">
        <f>SUM(AT5:AT38)</f>
        <v>12782095</v>
      </c>
      <c r="AU39" s="1649">
        <f>SUM(AU5:AU38)</f>
        <v>15915649</v>
      </c>
      <c r="AV39" s="1647">
        <f aca="true" t="shared" si="4" ref="AV39:BA39">SUM(AV5:AV38)</f>
        <v>223697663</v>
      </c>
      <c r="AW39" s="839">
        <f t="shared" si="4"/>
        <v>252187328</v>
      </c>
      <c r="AX39" s="1647">
        <v>291820168</v>
      </c>
      <c r="AY39" s="839"/>
      <c r="AZ39" s="1647">
        <f t="shared" si="4"/>
        <v>515517831</v>
      </c>
      <c r="BA39" s="840">
        <f t="shared" si="4"/>
        <v>252187328</v>
      </c>
    </row>
  </sheetData>
  <sheetProtection/>
  <mergeCells count="29">
    <mergeCell ref="H3:I3"/>
    <mergeCell ref="J3:K3"/>
    <mergeCell ref="N3:O3"/>
    <mergeCell ref="AL3:AM3"/>
    <mergeCell ref="AZ3:BA3"/>
    <mergeCell ref="AV3:AW3"/>
    <mergeCell ref="L3:M3"/>
    <mergeCell ref="AR3:AS3"/>
    <mergeCell ref="AP3:AQ3"/>
    <mergeCell ref="AT3:AU3"/>
    <mergeCell ref="AN3:AO3"/>
    <mergeCell ref="AX3:AY3"/>
    <mergeCell ref="T3:U3"/>
    <mergeCell ref="A1:AY1"/>
    <mergeCell ref="A2:AY2"/>
    <mergeCell ref="A3:A4"/>
    <mergeCell ref="AB3:AC3"/>
    <mergeCell ref="AD3:AE3"/>
    <mergeCell ref="AF3:AG3"/>
    <mergeCell ref="AH3:AI3"/>
    <mergeCell ref="AJ3:AK3"/>
    <mergeCell ref="P3:Q3"/>
    <mergeCell ref="R3:S3"/>
    <mergeCell ref="V3:W3"/>
    <mergeCell ref="X3:Y3"/>
    <mergeCell ref="Z3:AA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9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37.28125" style="179" bestFit="1" customWidth="1"/>
    <col min="2" max="2" width="11.7109375" style="0" bestFit="1" customWidth="1"/>
    <col min="3" max="3" width="12.421875" style="0" bestFit="1" customWidth="1"/>
    <col min="4" max="4" width="11.7109375" style="0" bestFit="1" customWidth="1"/>
    <col min="5" max="5" width="12.421875" style="177" bestFit="1" customWidth="1"/>
    <col min="6" max="6" width="11.7109375" style="0" bestFit="1" customWidth="1"/>
    <col min="7" max="7" width="12.421875" style="0" bestFit="1" customWidth="1"/>
    <col min="8" max="8" width="11.7109375" style="0" bestFit="1" customWidth="1"/>
    <col min="9" max="9" width="12.421875" style="0" bestFit="1" customWidth="1"/>
    <col min="10" max="10" width="11.7109375" style="0" bestFit="1" customWidth="1"/>
    <col min="11" max="11" width="12.421875" style="0" bestFit="1" customWidth="1"/>
    <col min="12" max="12" width="11.7109375" style="0" bestFit="1" customWidth="1"/>
    <col min="13" max="13" width="12.421875" style="0" bestFit="1" customWidth="1"/>
    <col min="14" max="14" width="11.7109375" style="0" bestFit="1" customWidth="1"/>
    <col min="15" max="15" width="12.421875" style="0" bestFit="1" customWidth="1"/>
    <col min="16" max="16" width="11.7109375" style="0" bestFit="1" customWidth="1"/>
    <col min="17" max="17" width="12.421875" style="0" bestFit="1" customWidth="1"/>
    <col min="18" max="18" width="11.7109375" style="0" bestFit="1" customWidth="1"/>
    <col min="19" max="19" width="12.421875" style="0" bestFit="1" customWidth="1"/>
    <col min="20" max="20" width="11.7109375" style="0" bestFit="1" customWidth="1"/>
    <col min="21" max="21" width="12.421875" style="0" bestFit="1" customWidth="1"/>
    <col min="22" max="22" width="11.7109375" style="177" bestFit="1" customWidth="1"/>
    <col min="23" max="23" width="12.421875" style="177" bestFit="1" customWidth="1"/>
    <col min="24" max="24" width="12.140625" style="0" bestFit="1" customWidth="1"/>
    <col min="25" max="25" width="12.7109375" style="0" bestFit="1" customWidth="1"/>
    <col min="26" max="26" width="11.7109375" style="0" bestFit="1" customWidth="1"/>
    <col min="27" max="27" width="12.421875" style="0" bestFit="1" customWidth="1"/>
    <col min="28" max="28" width="11.7109375" style="0" bestFit="1" customWidth="1"/>
    <col min="29" max="29" width="12.421875" style="0" bestFit="1" customWidth="1"/>
    <col min="30" max="30" width="11.7109375" style="0" bestFit="1" customWidth="1"/>
    <col min="31" max="31" width="12.421875" style="0" bestFit="1" customWidth="1"/>
    <col min="32" max="32" width="11.7109375" style="0" bestFit="1" customWidth="1"/>
    <col min="33" max="33" width="12.421875" style="0" bestFit="1" customWidth="1"/>
    <col min="34" max="34" width="11.7109375" style="0" bestFit="1" customWidth="1"/>
    <col min="35" max="35" width="12.421875" style="0" bestFit="1" customWidth="1"/>
    <col min="36" max="36" width="11.7109375" style="0" bestFit="1" customWidth="1"/>
    <col min="37" max="37" width="12.421875" style="0" bestFit="1" customWidth="1"/>
    <col min="38" max="38" width="11.7109375" style="0" bestFit="1" customWidth="1"/>
    <col min="39" max="39" width="12.421875" style="0" bestFit="1" customWidth="1"/>
    <col min="40" max="40" width="11.7109375" style="0" bestFit="1" customWidth="1"/>
    <col min="41" max="41" width="12.421875" style="0" bestFit="1" customWidth="1"/>
    <col min="42" max="42" width="11.7109375" style="177" bestFit="1" customWidth="1"/>
    <col min="43" max="43" width="12.421875" style="177" bestFit="1" customWidth="1"/>
    <col min="44" max="44" width="11.7109375" style="177" bestFit="1" customWidth="1"/>
    <col min="45" max="45" width="12.421875" style="177" bestFit="1" customWidth="1"/>
    <col min="46" max="46" width="11.7109375" style="177" bestFit="1" customWidth="1"/>
    <col min="47" max="47" width="12.421875" style="177" bestFit="1" customWidth="1"/>
    <col min="48" max="48" width="11.7109375" style="178" bestFit="1" customWidth="1"/>
    <col min="49" max="49" width="12.421875" style="178" bestFit="1" customWidth="1"/>
    <col min="50" max="50" width="11.7109375" style="178" bestFit="1" customWidth="1"/>
    <col min="51" max="51" width="12.421875" style="178" bestFit="1" customWidth="1"/>
    <col min="52" max="52" width="11.7109375" style="178" bestFit="1" customWidth="1"/>
    <col min="53" max="53" width="12.421875" style="178" bestFit="1" customWidth="1"/>
  </cols>
  <sheetData>
    <row r="1" spans="1:53" s="114" customFormat="1" ht="14.25" customHeight="1">
      <c r="A1" s="1702" t="s">
        <v>180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1702"/>
      <c r="T1" s="1702"/>
      <c r="U1" s="1702"/>
      <c r="V1" s="1702"/>
      <c r="W1" s="1702"/>
      <c r="X1" s="1702"/>
      <c r="Y1" s="1702"/>
      <c r="Z1" s="1702"/>
      <c r="AA1" s="1702"/>
      <c r="AB1" s="1702"/>
      <c r="AC1" s="1702"/>
      <c r="AD1" s="1702"/>
      <c r="AE1" s="1702"/>
      <c r="AF1" s="1702"/>
      <c r="AG1" s="1702"/>
      <c r="AH1" s="1702"/>
      <c r="AI1" s="1702"/>
      <c r="AJ1" s="1702"/>
      <c r="AK1" s="1702"/>
      <c r="AL1" s="1702"/>
      <c r="AM1" s="1702"/>
      <c r="AN1" s="1702"/>
      <c r="AO1" s="1702"/>
      <c r="AP1" s="1702"/>
      <c r="AQ1" s="1702"/>
      <c r="AR1" s="1702"/>
      <c r="AS1" s="1702"/>
      <c r="AT1" s="1702"/>
      <c r="AU1" s="1702"/>
      <c r="AV1" s="1702"/>
      <c r="AW1" s="1702"/>
      <c r="AX1" s="1702"/>
      <c r="AY1" s="1702"/>
      <c r="AZ1" s="147"/>
      <c r="BA1" s="147"/>
    </row>
    <row r="2" spans="1:53" s="114" customFormat="1" ht="14.25" customHeight="1" thickBot="1">
      <c r="A2" s="1730" t="s">
        <v>59</v>
      </c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1730"/>
      <c r="Y2" s="1730"/>
      <c r="Z2" s="1730"/>
      <c r="AA2" s="1730"/>
      <c r="AB2" s="1730"/>
      <c r="AC2" s="1730"/>
      <c r="AD2" s="1730"/>
      <c r="AE2" s="1730"/>
      <c r="AF2" s="1730"/>
      <c r="AG2" s="1730"/>
      <c r="AH2" s="1730"/>
      <c r="AI2" s="1730"/>
      <c r="AJ2" s="1730"/>
      <c r="AK2" s="1730"/>
      <c r="AL2" s="1730"/>
      <c r="AM2" s="1730"/>
      <c r="AN2" s="1730"/>
      <c r="AO2" s="1730"/>
      <c r="AP2" s="1730"/>
      <c r="AQ2" s="1730"/>
      <c r="AR2" s="1730"/>
      <c r="AS2" s="1730"/>
      <c r="AT2" s="1730"/>
      <c r="AU2" s="1730"/>
      <c r="AV2" s="1730"/>
      <c r="AW2" s="1730"/>
      <c r="AX2" s="1730"/>
      <c r="AY2" s="1730"/>
      <c r="AZ2" s="147"/>
      <c r="BA2" s="147"/>
    </row>
    <row r="3" spans="1:53" s="1282" customFormat="1" ht="38.25" customHeight="1" thickBot="1">
      <c r="A3" s="1731" t="s">
        <v>0</v>
      </c>
      <c r="B3" s="1736" t="s">
        <v>184</v>
      </c>
      <c r="C3" s="1734"/>
      <c r="D3" s="1736" t="s">
        <v>185</v>
      </c>
      <c r="E3" s="1734"/>
      <c r="F3" s="1736" t="s">
        <v>186</v>
      </c>
      <c r="G3" s="1734"/>
      <c r="H3" s="1736" t="s">
        <v>187</v>
      </c>
      <c r="I3" s="1734"/>
      <c r="J3" s="1733" t="s">
        <v>188</v>
      </c>
      <c r="K3" s="1734"/>
      <c r="L3" s="1733" t="s">
        <v>189</v>
      </c>
      <c r="M3" s="1734"/>
      <c r="N3" s="1741" t="s">
        <v>527</v>
      </c>
      <c r="O3" s="1742"/>
      <c r="P3" s="1736" t="s">
        <v>190</v>
      </c>
      <c r="Q3" s="1734"/>
      <c r="R3" s="1736" t="s">
        <v>191</v>
      </c>
      <c r="S3" s="1734"/>
      <c r="T3" s="1736" t="s">
        <v>192</v>
      </c>
      <c r="U3" s="1734"/>
      <c r="V3" s="1735" t="s">
        <v>193</v>
      </c>
      <c r="W3" s="1695"/>
      <c r="X3" s="1733" t="s">
        <v>194</v>
      </c>
      <c r="Y3" s="1734"/>
      <c r="Z3" s="1733" t="s">
        <v>195</v>
      </c>
      <c r="AA3" s="1734"/>
      <c r="AB3" s="1733" t="s">
        <v>196</v>
      </c>
      <c r="AC3" s="1734"/>
      <c r="AD3" s="1737" t="s">
        <v>197</v>
      </c>
      <c r="AE3" s="1738"/>
      <c r="AF3" s="1733" t="s">
        <v>198</v>
      </c>
      <c r="AG3" s="1734"/>
      <c r="AH3" s="1733" t="s">
        <v>199</v>
      </c>
      <c r="AI3" s="1734"/>
      <c r="AJ3" s="1733" t="s">
        <v>200</v>
      </c>
      <c r="AK3" s="1734"/>
      <c r="AL3" s="1737" t="s">
        <v>201</v>
      </c>
      <c r="AM3" s="1738"/>
      <c r="AN3" s="1733" t="s">
        <v>202</v>
      </c>
      <c r="AO3" s="1734"/>
      <c r="AP3" s="1735" t="s">
        <v>203</v>
      </c>
      <c r="AQ3" s="1695"/>
      <c r="AR3" s="1735" t="s">
        <v>204</v>
      </c>
      <c r="AS3" s="1695"/>
      <c r="AT3" s="1735" t="s">
        <v>205</v>
      </c>
      <c r="AU3" s="1695"/>
      <c r="AV3" s="1696" t="s">
        <v>1</v>
      </c>
      <c r="AW3" s="1697"/>
      <c r="AX3" s="1739" t="s">
        <v>206</v>
      </c>
      <c r="AY3" s="1740"/>
      <c r="AZ3" s="1692" t="s">
        <v>2</v>
      </c>
      <c r="BA3" s="1693"/>
    </row>
    <row r="4" spans="1:53" s="806" customFormat="1" ht="15" customHeight="1" thickBot="1">
      <c r="A4" s="1732"/>
      <c r="B4" s="933" t="s">
        <v>322</v>
      </c>
      <c r="C4" s="861" t="s">
        <v>446</v>
      </c>
      <c r="D4" s="875" t="s">
        <v>322</v>
      </c>
      <c r="E4" s="861" t="s">
        <v>446</v>
      </c>
      <c r="F4" s="875" t="s">
        <v>322</v>
      </c>
      <c r="G4" s="861" t="s">
        <v>446</v>
      </c>
      <c r="H4" s="875" t="s">
        <v>322</v>
      </c>
      <c r="I4" s="861" t="s">
        <v>446</v>
      </c>
      <c r="J4" s="875" t="s">
        <v>322</v>
      </c>
      <c r="K4" s="861" t="s">
        <v>446</v>
      </c>
      <c r="L4" s="875" t="s">
        <v>322</v>
      </c>
      <c r="M4" s="861" t="s">
        <v>446</v>
      </c>
      <c r="N4" s="875" t="s">
        <v>322</v>
      </c>
      <c r="O4" s="861" t="s">
        <v>446</v>
      </c>
      <c r="P4" s="875" t="s">
        <v>322</v>
      </c>
      <c r="Q4" s="861" t="s">
        <v>446</v>
      </c>
      <c r="R4" s="875" t="s">
        <v>322</v>
      </c>
      <c r="S4" s="861" t="s">
        <v>446</v>
      </c>
      <c r="T4" s="875" t="s">
        <v>322</v>
      </c>
      <c r="U4" s="861" t="s">
        <v>446</v>
      </c>
      <c r="V4" s="875" t="s">
        <v>322</v>
      </c>
      <c r="W4" s="861" t="s">
        <v>446</v>
      </c>
      <c r="X4" s="875" t="s">
        <v>322</v>
      </c>
      <c r="Y4" s="861" t="s">
        <v>446</v>
      </c>
      <c r="Z4" s="875" t="s">
        <v>322</v>
      </c>
      <c r="AA4" s="861" t="s">
        <v>446</v>
      </c>
      <c r="AB4" s="875" t="s">
        <v>322</v>
      </c>
      <c r="AC4" s="861" t="s">
        <v>446</v>
      </c>
      <c r="AD4" s="875" t="s">
        <v>322</v>
      </c>
      <c r="AE4" s="861" t="s">
        <v>446</v>
      </c>
      <c r="AF4" s="875" t="s">
        <v>322</v>
      </c>
      <c r="AG4" s="861" t="s">
        <v>446</v>
      </c>
      <c r="AH4" s="875" t="s">
        <v>322</v>
      </c>
      <c r="AI4" s="861" t="s">
        <v>446</v>
      </c>
      <c r="AJ4" s="875" t="s">
        <v>322</v>
      </c>
      <c r="AK4" s="861" t="s">
        <v>446</v>
      </c>
      <c r="AL4" s="875" t="s">
        <v>322</v>
      </c>
      <c r="AM4" s="861" t="s">
        <v>446</v>
      </c>
      <c r="AN4" s="875" t="s">
        <v>322</v>
      </c>
      <c r="AO4" s="861" t="s">
        <v>446</v>
      </c>
      <c r="AP4" s="875" t="s">
        <v>322</v>
      </c>
      <c r="AQ4" s="861" t="s">
        <v>446</v>
      </c>
      <c r="AR4" s="875" t="s">
        <v>322</v>
      </c>
      <c r="AS4" s="861" t="s">
        <v>446</v>
      </c>
      <c r="AT4" s="875" t="s">
        <v>322</v>
      </c>
      <c r="AU4" s="861" t="s">
        <v>446</v>
      </c>
      <c r="AV4" s="875" t="s">
        <v>322</v>
      </c>
      <c r="AW4" s="861" t="s">
        <v>446</v>
      </c>
      <c r="AX4" s="875" t="s">
        <v>322</v>
      </c>
      <c r="AY4" s="861" t="s">
        <v>446</v>
      </c>
      <c r="AZ4" s="875" t="s">
        <v>322</v>
      </c>
      <c r="BA4" s="861" t="s">
        <v>446</v>
      </c>
    </row>
    <row r="5" spans="1:53" s="118" customFormat="1" ht="15" customHeight="1" thickBot="1">
      <c r="A5" s="728" t="s">
        <v>30</v>
      </c>
      <c r="B5" s="1367"/>
      <c r="C5" s="182"/>
      <c r="D5" s="181"/>
      <c r="E5" s="183"/>
      <c r="F5" s="185"/>
      <c r="G5" s="183"/>
      <c r="H5" s="185"/>
      <c r="I5" s="183"/>
      <c r="J5" s="184"/>
      <c r="K5" s="183"/>
      <c r="L5" s="184"/>
      <c r="M5" s="183"/>
      <c r="N5" s="185"/>
      <c r="O5" s="183"/>
      <c r="P5" s="181"/>
      <c r="Q5" s="182"/>
      <c r="R5" s="181"/>
      <c r="S5" s="182"/>
      <c r="T5" s="181"/>
      <c r="U5" s="182"/>
      <c r="V5" s="184"/>
      <c r="W5" s="183"/>
      <c r="X5" s="1378"/>
      <c r="Y5" s="182"/>
      <c r="Z5" s="1378"/>
      <c r="AA5" s="182"/>
      <c r="AB5" s="1378"/>
      <c r="AC5" s="182"/>
      <c r="AD5" s="1378"/>
      <c r="AE5" s="182"/>
      <c r="AF5" s="1378"/>
      <c r="AG5" s="182"/>
      <c r="AH5" s="1378"/>
      <c r="AI5" s="182"/>
      <c r="AJ5" s="1378"/>
      <c r="AK5" s="182"/>
      <c r="AL5" s="1294"/>
      <c r="AM5" s="260"/>
      <c r="AN5" s="1391"/>
      <c r="AO5" s="1396"/>
      <c r="AP5" s="184"/>
      <c r="AQ5" s="183"/>
      <c r="AR5" s="184"/>
      <c r="AS5" s="183"/>
      <c r="AT5" s="184"/>
      <c r="AU5" s="183"/>
      <c r="AV5" s="184"/>
      <c r="AW5" s="183"/>
      <c r="AX5" s="184"/>
      <c r="AY5" s="183"/>
      <c r="AZ5" s="188"/>
      <c r="BA5" s="189"/>
    </row>
    <row r="6" spans="1:53" s="118" customFormat="1" ht="14.25">
      <c r="A6" s="727" t="s">
        <v>31</v>
      </c>
      <c r="B6" s="1368">
        <v>4699095</v>
      </c>
      <c r="C6" s="119">
        <v>5556659</v>
      </c>
      <c r="D6" s="121">
        <v>804009</v>
      </c>
      <c r="E6" s="125">
        <v>795158</v>
      </c>
      <c r="F6" s="124">
        <v>971246</v>
      </c>
      <c r="G6" s="125"/>
      <c r="H6" s="124">
        <v>10447842</v>
      </c>
      <c r="I6" s="125">
        <v>12110846</v>
      </c>
      <c r="J6" s="148">
        <v>928469</v>
      </c>
      <c r="K6" s="125">
        <v>1114525</v>
      </c>
      <c r="L6" s="148">
        <v>1361571</v>
      </c>
      <c r="M6" s="125">
        <v>1973788</v>
      </c>
      <c r="N6" s="148">
        <v>3278681</v>
      </c>
      <c r="O6" s="125">
        <v>3639193</v>
      </c>
      <c r="P6" s="121">
        <v>523642</v>
      </c>
      <c r="Q6" s="122">
        <v>691394</v>
      </c>
      <c r="R6" s="121">
        <v>530362</v>
      </c>
      <c r="S6" s="122">
        <v>2409194</v>
      </c>
      <c r="T6" s="121">
        <v>929207</v>
      </c>
      <c r="U6" s="122">
        <v>1416649</v>
      </c>
      <c r="V6" s="148">
        <v>15326340</v>
      </c>
      <c r="W6" s="125">
        <v>23031910</v>
      </c>
      <c r="X6" s="1379">
        <v>10939284</v>
      </c>
      <c r="Y6" s="122">
        <v>16119011</v>
      </c>
      <c r="Z6" s="1382">
        <v>773483</v>
      </c>
      <c r="AA6" s="126">
        <v>779036</v>
      </c>
      <c r="AB6" s="1379">
        <v>2918579</v>
      </c>
      <c r="AC6" s="122">
        <v>3507636.57</v>
      </c>
      <c r="AD6" s="1379">
        <v>6559649</v>
      </c>
      <c r="AE6" s="122">
        <v>8821777</v>
      </c>
      <c r="AF6" s="1379">
        <v>6548772</v>
      </c>
      <c r="AG6" s="117">
        <v>8392842</v>
      </c>
      <c r="AH6" s="1379">
        <v>3465631</v>
      </c>
      <c r="AI6" s="122">
        <v>4575720</v>
      </c>
      <c r="AJ6" s="1379">
        <v>1940272</v>
      </c>
      <c r="AK6" s="122">
        <v>1762061</v>
      </c>
      <c r="AL6" s="1379"/>
      <c r="AM6" s="122"/>
      <c r="AN6" s="1392">
        <v>15596390</v>
      </c>
      <c r="AO6" s="261">
        <v>17320157</v>
      </c>
      <c r="AP6" s="1394">
        <v>2516963</v>
      </c>
      <c r="AQ6" s="1397">
        <v>2598565</v>
      </c>
      <c r="AR6" s="1345">
        <v>1655347</v>
      </c>
      <c r="AS6" s="140">
        <v>1743227</v>
      </c>
      <c r="AT6" s="148">
        <v>2487468</v>
      </c>
      <c r="AU6" s="125">
        <v>3555020</v>
      </c>
      <c r="AV6" s="151">
        <f aca="true" t="shared" si="0" ref="AV6:AW8">SUM(B6+D6+F6+H6+J6+L6+N6+P6+R6+T6+V6+X6+Z6+AB6+AD6+AF6+AH6+AJ6+AL6+AN6+AP6+AR6+AT6)</f>
        <v>95202302</v>
      </c>
      <c r="AW6" s="152">
        <f t="shared" si="0"/>
        <v>121914368.57</v>
      </c>
      <c r="AX6" s="1345">
        <v>170750586</v>
      </c>
      <c r="AY6" s="140"/>
      <c r="AZ6" s="151">
        <f aca="true" t="shared" si="1" ref="AZ6:BA8">AV6+AX6</f>
        <v>265952888</v>
      </c>
      <c r="BA6" s="152">
        <f t="shared" si="1"/>
        <v>121914368.57</v>
      </c>
    </row>
    <row r="7" spans="1:53" s="118" customFormat="1" ht="14.25">
      <c r="A7" s="727" t="s">
        <v>32</v>
      </c>
      <c r="B7" s="1368">
        <v>8001336</v>
      </c>
      <c r="C7" s="119">
        <v>13502621</v>
      </c>
      <c r="D7" s="121">
        <v>95368</v>
      </c>
      <c r="E7" s="125">
        <v>276087</v>
      </c>
      <c r="F7" s="124">
        <v>2024632</v>
      </c>
      <c r="G7" s="125"/>
      <c r="H7" s="124">
        <v>15786356</v>
      </c>
      <c r="I7" s="125">
        <v>18042819</v>
      </c>
      <c r="J7" s="148">
        <v>499542</v>
      </c>
      <c r="K7" s="125">
        <v>399158</v>
      </c>
      <c r="L7" s="148">
        <v>122843</v>
      </c>
      <c r="M7" s="125">
        <v>232818</v>
      </c>
      <c r="N7" s="148">
        <v>7592</v>
      </c>
      <c r="O7" s="125">
        <v>38843</v>
      </c>
      <c r="P7" s="121"/>
      <c r="Q7" s="122"/>
      <c r="R7" s="121">
        <v>1772259</v>
      </c>
      <c r="S7" s="122">
        <v>6462393</v>
      </c>
      <c r="T7" s="121">
        <v>843930</v>
      </c>
      <c r="U7" s="122">
        <v>523315</v>
      </c>
      <c r="V7" s="148">
        <v>26559724</v>
      </c>
      <c r="W7" s="125">
        <v>43912610</v>
      </c>
      <c r="X7" s="1379">
        <v>22735868</v>
      </c>
      <c r="Y7" s="122">
        <v>25869595</v>
      </c>
      <c r="Z7" s="1382">
        <v>1862900</v>
      </c>
      <c r="AA7" s="126">
        <v>2253571</v>
      </c>
      <c r="AB7" s="1379">
        <v>271888</v>
      </c>
      <c r="AC7" s="122">
        <v>981920.4</v>
      </c>
      <c r="AD7" s="1379">
        <v>12492619</v>
      </c>
      <c r="AE7" s="122">
        <v>15319973</v>
      </c>
      <c r="AF7" s="1379">
        <v>12560176</v>
      </c>
      <c r="AG7" s="117">
        <v>12382794</v>
      </c>
      <c r="AH7" s="1379">
        <v>1551604</v>
      </c>
      <c r="AI7" s="122">
        <v>1951132</v>
      </c>
      <c r="AJ7" s="1379">
        <v>6240762</v>
      </c>
      <c r="AK7" s="122">
        <v>8753829</v>
      </c>
      <c r="AL7" s="1379"/>
      <c r="AM7" s="122"/>
      <c r="AN7" s="1305">
        <v>44358880</v>
      </c>
      <c r="AO7" s="262">
        <v>43811242</v>
      </c>
      <c r="AP7" s="1394">
        <v>619120</v>
      </c>
      <c r="AQ7" s="1397">
        <v>810730</v>
      </c>
      <c r="AR7" s="1345">
        <v>2058999</v>
      </c>
      <c r="AS7" s="140">
        <v>1461501</v>
      </c>
      <c r="AT7" s="148">
        <v>3518112</v>
      </c>
      <c r="AU7" s="125">
        <v>6512934</v>
      </c>
      <c r="AV7" s="151">
        <f t="shared" si="0"/>
        <v>163984510</v>
      </c>
      <c r="AW7" s="152">
        <f t="shared" si="0"/>
        <v>203499885.4</v>
      </c>
      <c r="AX7" s="1345">
        <v>1514460481</v>
      </c>
      <c r="AY7" s="140"/>
      <c r="AZ7" s="151">
        <f t="shared" si="1"/>
        <v>1678444991</v>
      </c>
      <c r="BA7" s="152">
        <f t="shared" si="1"/>
        <v>203499885.4</v>
      </c>
    </row>
    <row r="8" spans="1:53" s="118" customFormat="1" ht="14.25">
      <c r="A8" s="727" t="s">
        <v>33</v>
      </c>
      <c r="B8" s="1368">
        <v>71898</v>
      </c>
      <c r="C8" s="119">
        <v>117118</v>
      </c>
      <c r="D8" s="121">
        <v>151</v>
      </c>
      <c r="E8" s="125">
        <v>151</v>
      </c>
      <c r="F8" s="124">
        <v>857434</v>
      </c>
      <c r="G8" s="125"/>
      <c r="H8" s="124">
        <v>185930</v>
      </c>
      <c r="I8" s="125">
        <v>189820</v>
      </c>
      <c r="J8" s="148"/>
      <c r="K8" s="125"/>
      <c r="L8" s="148">
        <v>50424</v>
      </c>
      <c r="M8" s="125">
        <v>80332</v>
      </c>
      <c r="N8" s="124"/>
      <c r="O8" s="125"/>
      <c r="P8" s="121">
        <v>16186</v>
      </c>
      <c r="Q8" s="122">
        <v>17498</v>
      </c>
      <c r="R8" s="121">
        <v>7736</v>
      </c>
      <c r="S8" s="122">
        <v>46601</v>
      </c>
      <c r="T8" s="121">
        <v>2431</v>
      </c>
      <c r="U8" s="122">
        <v>5701</v>
      </c>
      <c r="V8" s="148">
        <v>1632085</v>
      </c>
      <c r="W8" s="125">
        <v>2918827</v>
      </c>
      <c r="X8" s="1379">
        <v>1769109</v>
      </c>
      <c r="Y8" s="122">
        <v>2318115</v>
      </c>
      <c r="Z8" s="1382"/>
      <c r="AA8" s="126">
        <v>59</v>
      </c>
      <c r="AB8" s="1379">
        <v>248</v>
      </c>
      <c r="AC8" s="122">
        <v>1117.74</v>
      </c>
      <c r="AD8" s="1379">
        <v>65831</v>
      </c>
      <c r="AE8" s="122">
        <v>141737</v>
      </c>
      <c r="AF8" s="1379">
        <v>73186</v>
      </c>
      <c r="AG8" s="117">
        <v>111684</v>
      </c>
      <c r="AH8" s="1379">
        <v>206398</v>
      </c>
      <c r="AI8" s="122">
        <v>223023</v>
      </c>
      <c r="AJ8" s="1379">
        <v>24449</v>
      </c>
      <c r="AK8" s="122">
        <v>46296</v>
      </c>
      <c r="AL8" s="1379"/>
      <c r="AM8" s="122"/>
      <c r="AN8" s="1305">
        <v>1819920</v>
      </c>
      <c r="AO8" s="262">
        <v>2197182</v>
      </c>
      <c r="AP8" s="1394">
        <v>3273</v>
      </c>
      <c r="AQ8" s="1397">
        <v>3882</v>
      </c>
      <c r="AR8" s="1345">
        <v>117733</v>
      </c>
      <c r="AS8" s="140">
        <v>116813</v>
      </c>
      <c r="AT8" s="148">
        <v>23829</v>
      </c>
      <c r="AU8" s="125">
        <v>68346</v>
      </c>
      <c r="AV8" s="151">
        <f t="shared" si="0"/>
        <v>6928251</v>
      </c>
      <c r="AW8" s="152">
        <f t="shared" si="0"/>
        <v>8604302.74</v>
      </c>
      <c r="AX8" s="1345">
        <v>109143017</v>
      </c>
      <c r="AY8" s="140"/>
      <c r="AZ8" s="151">
        <f t="shared" si="1"/>
        <v>116071268</v>
      </c>
      <c r="BA8" s="152">
        <f t="shared" si="1"/>
        <v>8604302.74</v>
      </c>
    </row>
    <row r="9" spans="1:53" s="118" customFormat="1" ht="14.25">
      <c r="A9" s="727" t="s">
        <v>34</v>
      </c>
      <c r="B9" s="1368"/>
      <c r="C9" s="119"/>
      <c r="D9" s="121"/>
      <c r="E9" s="125"/>
      <c r="F9" s="124"/>
      <c r="G9" s="125"/>
      <c r="H9" s="124"/>
      <c r="I9" s="125"/>
      <c r="J9" s="148"/>
      <c r="K9" s="125"/>
      <c r="L9" s="148"/>
      <c r="M9" s="125"/>
      <c r="N9" s="124"/>
      <c r="O9" s="125"/>
      <c r="P9" s="121"/>
      <c r="Q9" s="122"/>
      <c r="R9" s="121"/>
      <c r="S9" s="122"/>
      <c r="T9" s="121"/>
      <c r="U9" s="122"/>
      <c r="V9" s="135"/>
      <c r="W9" s="125"/>
      <c r="X9" s="1379"/>
      <c r="Y9" s="122"/>
      <c r="Z9" s="1382"/>
      <c r="AA9" s="126"/>
      <c r="AB9" s="1379"/>
      <c r="AC9" s="122"/>
      <c r="AD9" s="1379"/>
      <c r="AE9" s="122"/>
      <c r="AF9" s="1379"/>
      <c r="AG9" s="117"/>
      <c r="AH9" s="1379"/>
      <c r="AI9" s="122"/>
      <c r="AJ9" s="1379"/>
      <c r="AK9" s="122"/>
      <c r="AL9" s="1379"/>
      <c r="AM9" s="122"/>
      <c r="AN9" s="148"/>
      <c r="AO9" s="125"/>
      <c r="AP9" s="1394"/>
      <c r="AQ9" s="1397"/>
      <c r="AR9" s="1345">
        <v>185891</v>
      </c>
      <c r="AS9" s="140"/>
      <c r="AT9" s="148">
        <v>1252167</v>
      </c>
      <c r="AU9" s="125">
        <v>1051236</v>
      </c>
      <c r="AV9" s="151"/>
      <c r="AW9" s="152"/>
      <c r="AX9" s="1345"/>
      <c r="AY9" s="140"/>
      <c r="AZ9" s="151"/>
      <c r="BA9" s="152"/>
    </row>
    <row r="10" spans="1:53" s="118" customFormat="1" ht="14.25">
      <c r="A10" s="727" t="s">
        <v>35</v>
      </c>
      <c r="B10" s="1369">
        <v>626935</v>
      </c>
      <c r="C10" s="154">
        <v>712674</v>
      </c>
      <c r="D10" s="132">
        <v>426297</v>
      </c>
      <c r="E10" s="145">
        <v>424552</v>
      </c>
      <c r="F10" s="144">
        <v>355649</v>
      </c>
      <c r="G10" s="145"/>
      <c r="H10" s="144">
        <v>2625498</v>
      </c>
      <c r="I10" s="145">
        <v>3631921</v>
      </c>
      <c r="J10" s="151">
        <v>188681</v>
      </c>
      <c r="K10" s="145">
        <v>402785</v>
      </c>
      <c r="L10" s="151">
        <v>337139</v>
      </c>
      <c r="M10" s="145">
        <v>326791</v>
      </c>
      <c r="N10" s="144">
        <v>40838</v>
      </c>
      <c r="O10" s="145">
        <v>33364</v>
      </c>
      <c r="P10" s="132">
        <v>75207</v>
      </c>
      <c r="Q10" s="155">
        <v>54314</v>
      </c>
      <c r="R10" s="132"/>
      <c r="S10" s="155"/>
      <c r="T10" s="132">
        <v>115655</v>
      </c>
      <c r="U10" s="155">
        <v>230084</v>
      </c>
      <c r="V10" s="151">
        <v>374890</v>
      </c>
      <c r="W10" s="145">
        <v>302354</v>
      </c>
      <c r="X10" s="1380">
        <v>2480536</v>
      </c>
      <c r="Y10" s="175">
        <v>2989852</v>
      </c>
      <c r="Z10" s="1382">
        <v>1311472</v>
      </c>
      <c r="AA10" s="126">
        <v>2100961</v>
      </c>
      <c r="AB10" s="1380">
        <v>152861</v>
      </c>
      <c r="AC10" s="155">
        <v>462205.6</v>
      </c>
      <c r="AD10" s="1385">
        <v>496154</v>
      </c>
      <c r="AE10" s="1386">
        <v>1035427</v>
      </c>
      <c r="AF10" s="1380">
        <v>1062011</v>
      </c>
      <c r="AG10" s="117">
        <v>1387549</v>
      </c>
      <c r="AH10" s="1380">
        <v>2161339</v>
      </c>
      <c r="AI10" s="155">
        <v>2928372</v>
      </c>
      <c r="AJ10" s="1380">
        <v>5253623</v>
      </c>
      <c r="AK10" s="155">
        <v>5803837</v>
      </c>
      <c r="AL10" s="1379"/>
      <c r="AM10" s="122"/>
      <c r="AN10" s="1305">
        <v>7591982</v>
      </c>
      <c r="AO10" s="262">
        <v>8254294</v>
      </c>
      <c r="AP10" s="1394">
        <v>607421</v>
      </c>
      <c r="AQ10" s="1397">
        <v>452672</v>
      </c>
      <c r="AR10" s="1345">
        <v>419686</v>
      </c>
      <c r="AS10" s="140">
        <v>507181</v>
      </c>
      <c r="AT10" s="151">
        <f>2686669+2173358</f>
        <v>4860027</v>
      </c>
      <c r="AU10" s="145">
        <f>3050715+2622572</f>
        <v>5673287</v>
      </c>
      <c r="AV10" s="151">
        <f aca="true" t="shared" si="2" ref="AV10:AV15">SUM(B10+D10+F10+H10+J10+L10+N10+P10+R10+T10+V10+X10+Z10+AB10+AD10+AF10+AH10+AJ10+AL10+AN10+AP10+AR10+AT10)</f>
        <v>31563901</v>
      </c>
      <c r="AW10" s="152">
        <f>SUM(C10+E10+G10+I10+K10+M10+O10+Q10+S10+U10+W10+Y11+AA10+AC10+AE10+AG10+AI10+AK10+AM10+AO10+AQ10+AS10+AU10)</f>
        <v>184518371.6</v>
      </c>
      <c r="AX10" s="151"/>
      <c r="AY10" s="145"/>
      <c r="AZ10" s="151">
        <f aca="true" t="shared" si="3" ref="AZ10:BA15">AV10+AX10</f>
        <v>31563901</v>
      </c>
      <c r="BA10" s="152">
        <f t="shared" si="3"/>
        <v>184518371.6</v>
      </c>
    </row>
    <row r="11" spans="1:53" s="118" customFormat="1" ht="14.25">
      <c r="A11" s="727" t="s">
        <v>36</v>
      </c>
      <c r="B11" s="1368">
        <v>40774331</v>
      </c>
      <c r="C11" s="119">
        <v>37802776</v>
      </c>
      <c r="D11" s="121">
        <v>1986545</v>
      </c>
      <c r="E11" s="125">
        <v>1691729</v>
      </c>
      <c r="F11" s="124">
        <v>7917616</v>
      </c>
      <c r="G11" s="125"/>
      <c r="H11" s="124">
        <v>23864530</v>
      </c>
      <c r="I11" s="125">
        <v>32770196</v>
      </c>
      <c r="J11" s="148">
        <v>2854356</v>
      </c>
      <c r="K11" s="125">
        <v>2169399</v>
      </c>
      <c r="L11" s="148">
        <v>8840502</v>
      </c>
      <c r="M11" s="125">
        <v>8749231</v>
      </c>
      <c r="N11" s="124">
        <v>1261974</v>
      </c>
      <c r="O11" s="125">
        <v>1688149</v>
      </c>
      <c r="P11" s="121">
        <v>161048</v>
      </c>
      <c r="Q11" s="122">
        <v>380341</v>
      </c>
      <c r="R11" s="121">
        <v>1729614</v>
      </c>
      <c r="S11" s="122">
        <v>6457966</v>
      </c>
      <c r="T11" s="121">
        <v>1559094</v>
      </c>
      <c r="U11" s="122">
        <v>1518558</v>
      </c>
      <c r="V11" s="148">
        <v>60094044</v>
      </c>
      <c r="W11" s="125">
        <v>65044787</v>
      </c>
      <c r="X11" s="1379">
        <v>106115264</v>
      </c>
      <c r="Y11" s="155">
        <v>149793747</v>
      </c>
      <c r="Z11" s="1379">
        <v>1955855</v>
      </c>
      <c r="AA11" s="122">
        <v>1981773</v>
      </c>
      <c r="AB11" s="1379">
        <v>10946447</v>
      </c>
      <c r="AC11" s="122">
        <v>26968347.95</v>
      </c>
      <c r="AD11" s="1379">
        <v>10034591</v>
      </c>
      <c r="AE11" s="122">
        <v>10760261</v>
      </c>
      <c r="AF11" s="1379">
        <v>27746302</v>
      </c>
      <c r="AG11" s="117">
        <v>34205467</v>
      </c>
      <c r="AH11" s="1379">
        <v>12649639</v>
      </c>
      <c r="AI11" s="122">
        <v>14457846</v>
      </c>
      <c r="AJ11" s="1379">
        <v>21922796</v>
      </c>
      <c r="AK11" s="122">
        <v>14435509</v>
      </c>
      <c r="AL11" s="1379"/>
      <c r="AM11" s="122"/>
      <c r="AN11" s="1305">
        <v>40557407</v>
      </c>
      <c r="AO11" s="262">
        <v>37090942</v>
      </c>
      <c r="AP11" s="1394">
        <v>1997262</v>
      </c>
      <c r="AQ11" s="1397">
        <v>1075631</v>
      </c>
      <c r="AR11" s="1345">
        <v>5068380</v>
      </c>
      <c r="AS11" s="140">
        <v>6381128</v>
      </c>
      <c r="AT11" s="148">
        <v>8245083</v>
      </c>
      <c r="AU11" s="125">
        <v>8287490</v>
      </c>
      <c r="AV11" s="151">
        <f t="shared" si="2"/>
        <v>398282680</v>
      </c>
      <c r="AW11" s="152" t="e">
        <f>SUM(C11+E11+G11+I11+K11+M11+O11+Q11+S11+U11+W11+#REF!+AA11+AC11+AE11+AG11+AI11+AK11+AM11+AO11+AQ11+AS11+AU11)</f>
        <v>#REF!</v>
      </c>
      <c r="AX11" s="1345">
        <v>692372669</v>
      </c>
      <c r="AY11" s="140"/>
      <c r="AZ11" s="151">
        <f t="shared" si="3"/>
        <v>1090655349</v>
      </c>
      <c r="BA11" s="152" t="e">
        <f t="shared" si="3"/>
        <v>#REF!</v>
      </c>
    </row>
    <row r="12" spans="1:53" s="118" customFormat="1" ht="14.25">
      <c r="A12" s="727" t="s">
        <v>37</v>
      </c>
      <c r="B12" s="1368"/>
      <c r="C12" s="119"/>
      <c r="D12" s="121"/>
      <c r="E12" s="125"/>
      <c r="F12" s="124"/>
      <c r="G12" s="125"/>
      <c r="H12" s="124"/>
      <c r="I12" s="125"/>
      <c r="J12" s="148"/>
      <c r="K12" s="125"/>
      <c r="L12" s="148"/>
      <c r="M12" s="125"/>
      <c r="N12" s="124"/>
      <c r="O12" s="125"/>
      <c r="P12" s="121"/>
      <c r="Q12" s="122"/>
      <c r="R12" s="121"/>
      <c r="S12" s="122"/>
      <c r="T12" s="121"/>
      <c r="U12" s="122"/>
      <c r="V12" s="148">
        <v>10689917</v>
      </c>
      <c r="W12" s="125">
        <v>22743113</v>
      </c>
      <c r="X12" s="1379"/>
      <c r="Y12" s="122"/>
      <c r="Z12" s="1379"/>
      <c r="AA12" s="122"/>
      <c r="AB12" s="1379"/>
      <c r="AC12" s="122"/>
      <c r="AD12" s="1379">
        <v>487754</v>
      </c>
      <c r="AE12" s="122">
        <v>864744</v>
      </c>
      <c r="AF12" s="1379"/>
      <c r="AG12" s="117"/>
      <c r="AH12" s="1379"/>
      <c r="AI12" s="122"/>
      <c r="AJ12" s="1379"/>
      <c r="AK12" s="122"/>
      <c r="AL12" s="1379"/>
      <c r="AM12" s="122"/>
      <c r="AN12" s="1305">
        <v>11764139</v>
      </c>
      <c r="AO12" s="262">
        <v>15238102</v>
      </c>
      <c r="AP12" s="1394"/>
      <c r="AQ12" s="1397"/>
      <c r="AR12" s="1345"/>
      <c r="AS12" s="140"/>
      <c r="AT12" s="148"/>
      <c r="AU12" s="125"/>
      <c r="AV12" s="151">
        <f t="shared" si="2"/>
        <v>22941810</v>
      </c>
      <c r="AW12" s="152">
        <f>SUM(C12+E12+G12+I12+K12+M12+O12+Q12+S12+U12+W12+Y12+AA12+AC12+AE12+AG12+AI12+AK12+AM12+AO12+AQ12+AS12+AU12)</f>
        <v>38845959</v>
      </c>
      <c r="AX12" s="1345"/>
      <c r="AY12" s="140"/>
      <c r="AZ12" s="151">
        <f t="shared" si="3"/>
        <v>22941810</v>
      </c>
      <c r="BA12" s="152">
        <f t="shared" si="3"/>
        <v>38845959</v>
      </c>
    </row>
    <row r="13" spans="1:53" s="118" customFormat="1" ht="14.25">
      <c r="A13" s="727" t="s">
        <v>38</v>
      </c>
      <c r="B13" s="1368"/>
      <c r="C13" s="119"/>
      <c r="D13" s="121">
        <v>72182</v>
      </c>
      <c r="E13" s="125">
        <v>53932</v>
      </c>
      <c r="F13" s="124"/>
      <c r="G13" s="125"/>
      <c r="H13" s="124"/>
      <c r="I13" s="125"/>
      <c r="J13" s="148"/>
      <c r="K13" s="125"/>
      <c r="L13" s="148">
        <v>5719980</v>
      </c>
      <c r="M13" s="125">
        <v>6409110</v>
      </c>
      <c r="N13" s="124"/>
      <c r="O13" s="125"/>
      <c r="P13" s="121">
        <v>79083</v>
      </c>
      <c r="Q13" s="122">
        <v>100546</v>
      </c>
      <c r="R13" s="121"/>
      <c r="S13" s="122"/>
      <c r="T13" s="121"/>
      <c r="U13" s="122">
        <v>120985</v>
      </c>
      <c r="V13" s="148">
        <v>16817175</v>
      </c>
      <c r="W13" s="125">
        <v>24410633</v>
      </c>
      <c r="X13" s="1379"/>
      <c r="Y13" s="122"/>
      <c r="Z13" s="1379"/>
      <c r="AA13" s="122"/>
      <c r="AB13" s="1379"/>
      <c r="AC13" s="122"/>
      <c r="AD13" s="1379"/>
      <c r="AE13" s="122"/>
      <c r="AF13" s="1379"/>
      <c r="AG13" s="117"/>
      <c r="AH13" s="1379"/>
      <c r="AI13" s="122"/>
      <c r="AJ13" s="1379"/>
      <c r="AK13" s="122"/>
      <c r="AL13" s="1379"/>
      <c r="AM13" s="122"/>
      <c r="AN13" s="1305">
        <v>31666904</v>
      </c>
      <c r="AO13" s="262">
        <v>39442883</v>
      </c>
      <c r="AP13" s="1394">
        <v>8959</v>
      </c>
      <c r="AQ13" s="1397">
        <v>6026</v>
      </c>
      <c r="AR13" s="1345"/>
      <c r="AS13" s="140"/>
      <c r="AT13" s="148"/>
      <c r="AU13" s="125"/>
      <c r="AV13" s="151">
        <f t="shared" si="2"/>
        <v>54364283</v>
      </c>
      <c r="AW13" s="152">
        <f>SUM(C13+E13+G13+I13+K13+M13+O13+Q13+S13+U13+W13+Y13+AA13+AC13+AE13+AG13+AI13+AK13+AM13+AO13+AQ13+AS13+AU13)</f>
        <v>70544115</v>
      </c>
      <c r="AX13" s="1345"/>
      <c r="AY13" s="140"/>
      <c r="AZ13" s="151">
        <f t="shared" si="3"/>
        <v>54364283</v>
      </c>
      <c r="BA13" s="152">
        <f t="shared" si="3"/>
        <v>70544115</v>
      </c>
    </row>
    <row r="14" spans="1:53" s="118" customFormat="1" ht="14.25">
      <c r="A14" s="727" t="s">
        <v>39</v>
      </c>
      <c r="B14" s="1369">
        <v>93286</v>
      </c>
      <c r="C14" s="154">
        <v>85487</v>
      </c>
      <c r="D14" s="132">
        <v>35607</v>
      </c>
      <c r="E14" s="145">
        <v>43749</v>
      </c>
      <c r="F14" s="144">
        <v>8351</v>
      </c>
      <c r="G14" s="145"/>
      <c r="H14" s="144">
        <v>205309</v>
      </c>
      <c r="I14" s="145">
        <v>177659</v>
      </c>
      <c r="J14" s="151">
        <v>26676</v>
      </c>
      <c r="K14" s="145">
        <v>28438</v>
      </c>
      <c r="L14" s="151"/>
      <c r="M14" s="145"/>
      <c r="N14" s="144"/>
      <c r="O14" s="145"/>
      <c r="P14" s="132"/>
      <c r="Q14" s="155"/>
      <c r="R14" s="132"/>
      <c r="S14" s="155"/>
      <c r="T14" s="132">
        <v>25205</v>
      </c>
      <c r="U14" s="155">
        <v>150</v>
      </c>
      <c r="V14" s="151"/>
      <c r="W14" s="145"/>
      <c r="X14" s="1380">
        <v>70208</v>
      </c>
      <c r="Y14" s="155">
        <v>54841</v>
      </c>
      <c r="Z14" s="1382">
        <v>8468</v>
      </c>
      <c r="AA14" s="126">
        <v>31117</v>
      </c>
      <c r="AB14" s="1380"/>
      <c r="AC14" s="155"/>
      <c r="AD14" s="1385">
        <v>9408</v>
      </c>
      <c r="AE14" s="1386">
        <v>14011</v>
      </c>
      <c r="AF14" s="1380"/>
      <c r="AG14" s="117"/>
      <c r="AH14" s="1380"/>
      <c r="AI14" s="155"/>
      <c r="AJ14" s="1380">
        <v>2264</v>
      </c>
      <c r="AK14" s="155">
        <v>4009</v>
      </c>
      <c r="AL14" s="1379"/>
      <c r="AM14" s="122"/>
      <c r="AN14" s="1305">
        <v>97955</v>
      </c>
      <c r="AO14" s="262">
        <v>89856</v>
      </c>
      <c r="AP14" s="1394"/>
      <c r="AQ14" s="1397">
        <v>47565</v>
      </c>
      <c r="AR14" s="1345">
        <v>250</v>
      </c>
      <c r="AS14" s="140">
        <v>-250</v>
      </c>
      <c r="AT14" s="151"/>
      <c r="AU14" s="145"/>
      <c r="AV14" s="151">
        <f t="shared" si="2"/>
        <v>582987</v>
      </c>
      <c r="AW14" s="152">
        <f>SUM(C14+E14+G14+I14+K14+M14+O14+Q14+S14+U14+W14+Y14+AA14+AC14+AE14+AG14+AI14+AK14+AM14+AO14+AQ14+AS14+AU14)</f>
        <v>576632</v>
      </c>
      <c r="AX14" s="151"/>
      <c r="AY14" s="145"/>
      <c r="AZ14" s="151">
        <f t="shared" si="3"/>
        <v>582987</v>
      </c>
      <c r="BA14" s="152">
        <f t="shared" si="3"/>
        <v>576632</v>
      </c>
    </row>
    <row r="15" spans="1:53" s="118" customFormat="1" ht="14.25">
      <c r="A15" s="727" t="s">
        <v>40</v>
      </c>
      <c r="B15" s="1368">
        <v>2804</v>
      </c>
      <c r="C15" s="119">
        <v>3850</v>
      </c>
      <c r="D15" s="121">
        <v>9083</v>
      </c>
      <c r="E15" s="125">
        <v>6004</v>
      </c>
      <c r="F15" s="124">
        <v>16850</v>
      </c>
      <c r="G15" s="125"/>
      <c r="H15" s="124">
        <v>72729</v>
      </c>
      <c r="I15" s="125">
        <v>81803</v>
      </c>
      <c r="J15" s="148">
        <v>29644</v>
      </c>
      <c r="K15" s="125">
        <v>20963</v>
      </c>
      <c r="L15" s="148"/>
      <c r="M15" s="125">
        <v>2250</v>
      </c>
      <c r="N15" s="124">
        <v>5903</v>
      </c>
      <c r="O15" s="125">
        <v>4502</v>
      </c>
      <c r="P15" s="121">
        <v>5498</v>
      </c>
      <c r="Q15" s="122">
        <v>8500</v>
      </c>
      <c r="R15" s="121"/>
      <c r="S15" s="122"/>
      <c r="T15" s="121">
        <v>1000</v>
      </c>
      <c r="U15" s="122">
        <v>8843</v>
      </c>
      <c r="V15" s="148">
        <v>233243</v>
      </c>
      <c r="W15" s="125">
        <v>354877</v>
      </c>
      <c r="X15" s="1379">
        <v>957642</v>
      </c>
      <c r="Y15" s="122">
        <v>1080882</v>
      </c>
      <c r="Z15" s="1382"/>
      <c r="AA15" s="126"/>
      <c r="AB15" s="1379">
        <v>17577</v>
      </c>
      <c r="AC15" s="122">
        <v>15739.65</v>
      </c>
      <c r="AD15" s="1379"/>
      <c r="AE15" s="122"/>
      <c r="AF15" s="1379">
        <v>47565</v>
      </c>
      <c r="AG15" s="117">
        <v>106798</v>
      </c>
      <c r="AH15" s="1379">
        <v>70743</v>
      </c>
      <c r="AI15" s="122">
        <v>79721</v>
      </c>
      <c r="AJ15" s="1379">
        <v>14598</v>
      </c>
      <c r="AK15" s="122">
        <v>13899</v>
      </c>
      <c r="AL15" s="1379"/>
      <c r="AM15" s="122"/>
      <c r="AN15" s="1305">
        <v>4808</v>
      </c>
      <c r="AO15" s="262">
        <v>16554</v>
      </c>
      <c r="AP15" s="1394"/>
      <c r="AQ15" s="1397"/>
      <c r="AR15" s="1345">
        <v>23208</v>
      </c>
      <c r="AS15" s="140">
        <v>29531</v>
      </c>
      <c r="AT15" s="148">
        <v>11088</v>
      </c>
      <c r="AU15" s="125">
        <v>6682</v>
      </c>
      <c r="AV15" s="151">
        <f t="shared" si="2"/>
        <v>1523983</v>
      </c>
      <c r="AW15" s="152">
        <f>SUM(C15+E15+G15+I15+K15+M15+O15+Q15+S15+U15+W15+Y15+AA15+AC15+AE15+AG15+AI15+AK15+AM15+AO15+AQ15+AS15+AU15)</f>
        <v>1841398.65</v>
      </c>
      <c r="AX15" s="148">
        <f>100730+180334+119529+23196</f>
        <v>423789</v>
      </c>
      <c r="AY15" s="125"/>
      <c r="AZ15" s="151">
        <f t="shared" si="3"/>
        <v>1947772</v>
      </c>
      <c r="BA15" s="152">
        <f t="shared" si="3"/>
        <v>1841398.65</v>
      </c>
    </row>
    <row r="16" spans="1:53" s="118" customFormat="1" ht="15" customHeight="1">
      <c r="A16" s="727" t="s">
        <v>41</v>
      </c>
      <c r="B16" s="1368"/>
      <c r="C16" s="119"/>
      <c r="D16" s="121"/>
      <c r="E16" s="125"/>
      <c r="F16" s="124"/>
      <c r="G16" s="125"/>
      <c r="H16" s="124"/>
      <c r="I16" s="125"/>
      <c r="J16" s="148"/>
      <c r="K16" s="125"/>
      <c r="L16" s="148"/>
      <c r="M16" s="125"/>
      <c r="N16" s="124"/>
      <c r="O16" s="125"/>
      <c r="P16" s="121"/>
      <c r="Q16" s="122"/>
      <c r="R16" s="121"/>
      <c r="S16" s="122"/>
      <c r="T16" s="121"/>
      <c r="U16" s="122"/>
      <c r="V16" s="148"/>
      <c r="W16" s="125"/>
      <c r="X16" s="1379"/>
      <c r="Y16" s="122"/>
      <c r="Z16" s="1382"/>
      <c r="AA16" s="126"/>
      <c r="AB16" s="1379"/>
      <c r="AC16" s="122"/>
      <c r="AD16" s="1379"/>
      <c r="AE16" s="122"/>
      <c r="AF16" s="1379"/>
      <c r="AG16" s="117"/>
      <c r="AH16" s="1379"/>
      <c r="AI16" s="122"/>
      <c r="AJ16" s="1379"/>
      <c r="AK16" s="122"/>
      <c r="AL16" s="1379"/>
      <c r="AM16" s="122"/>
      <c r="AN16" s="1305"/>
      <c r="AO16" s="262"/>
      <c r="AP16" s="1394"/>
      <c r="AQ16" s="1397"/>
      <c r="AR16" s="1345"/>
      <c r="AS16" s="140"/>
      <c r="AT16" s="148"/>
      <c r="AU16" s="125"/>
      <c r="AV16" s="151"/>
      <c r="AW16" s="152"/>
      <c r="AX16" s="148">
        <v>6418</v>
      </c>
      <c r="AY16" s="125"/>
      <c r="AZ16" s="151">
        <f aca="true" t="shared" si="4" ref="AZ16:AZ22">AV16+AX16</f>
        <v>6418</v>
      </c>
      <c r="BA16" s="152"/>
    </row>
    <row r="17" spans="1:53" s="118" customFormat="1" ht="14.25">
      <c r="A17" s="727" t="s">
        <v>42</v>
      </c>
      <c r="B17" s="1368"/>
      <c r="C17" s="119"/>
      <c r="D17" s="121"/>
      <c r="E17" s="125"/>
      <c r="F17" s="124"/>
      <c r="G17" s="125"/>
      <c r="H17" s="124"/>
      <c r="I17" s="125"/>
      <c r="J17" s="148"/>
      <c r="K17" s="125"/>
      <c r="L17" s="148"/>
      <c r="M17" s="125"/>
      <c r="N17" s="124"/>
      <c r="O17" s="125"/>
      <c r="P17" s="121"/>
      <c r="Q17" s="122"/>
      <c r="R17" s="121"/>
      <c r="S17" s="122"/>
      <c r="T17" s="121"/>
      <c r="U17" s="122"/>
      <c r="V17" s="148"/>
      <c r="W17" s="125"/>
      <c r="X17" s="1379"/>
      <c r="Y17" s="122"/>
      <c r="Z17" s="1382"/>
      <c r="AA17" s="126"/>
      <c r="AB17" s="1379"/>
      <c r="AC17" s="122"/>
      <c r="AD17" s="1379"/>
      <c r="AE17" s="122"/>
      <c r="AF17" s="1379">
        <v>10187321</v>
      </c>
      <c r="AG17" s="117">
        <v>11334445</v>
      </c>
      <c r="AH17" s="1379"/>
      <c r="AI17" s="122"/>
      <c r="AJ17" s="1379"/>
      <c r="AK17" s="122"/>
      <c r="AL17" s="1379"/>
      <c r="AM17" s="122"/>
      <c r="AN17" s="1305"/>
      <c r="AO17" s="262"/>
      <c r="AP17" s="1394">
        <v>3503</v>
      </c>
      <c r="AQ17" s="1397">
        <v>3422</v>
      </c>
      <c r="AR17" s="1345"/>
      <c r="AS17" s="140"/>
      <c r="AT17" s="148"/>
      <c r="AU17" s="125"/>
      <c r="AV17" s="151">
        <f aca="true" t="shared" si="5" ref="AV17:AW22">SUM(B17+D17+F17+H17+J17+L17+N17+P17+R17+T17+V17+X17+Z17+AB17+AD17+AF17+AH17+AJ17+AL17+AN17+AP17+AR17+AT17)</f>
        <v>10190824</v>
      </c>
      <c r="AW17" s="152">
        <f t="shared" si="5"/>
        <v>11337867</v>
      </c>
      <c r="AX17" s="148"/>
      <c r="AY17" s="125"/>
      <c r="AZ17" s="151">
        <f t="shared" si="4"/>
        <v>10190824</v>
      </c>
      <c r="BA17" s="152">
        <f aca="true" t="shared" si="6" ref="BA17:BA22">AW17+AY17</f>
        <v>11337867</v>
      </c>
    </row>
    <row r="18" spans="1:53" s="118" customFormat="1" ht="14.25">
      <c r="A18" s="727" t="s">
        <v>43</v>
      </c>
      <c r="B18" s="1368"/>
      <c r="C18" s="119"/>
      <c r="D18" s="121"/>
      <c r="E18" s="125"/>
      <c r="F18" s="124"/>
      <c r="G18" s="125"/>
      <c r="H18" s="124"/>
      <c r="I18" s="125"/>
      <c r="J18" s="148"/>
      <c r="K18" s="125"/>
      <c r="L18" s="148"/>
      <c r="M18" s="125"/>
      <c r="N18" s="124"/>
      <c r="O18" s="125"/>
      <c r="P18" s="121"/>
      <c r="Q18" s="122"/>
      <c r="R18" s="121"/>
      <c r="S18" s="122"/>
      <c r="T18" s="121"/>
      <c r="U18" s="122"/>
      <c r="V18" s="148">
        <v>4124988</v>
      </c>
      <c r="W18" s="125">
        <v>2527230</v>
      </c>
      <c r="X18" s="1379"/>
      <c r="Y18" s="122"/>
      <c r="Z18" s="1382"/>
      <c r="AA18" s="126"/>
      <c r="AB18" s="1379"/>
      <c r="AC18" s="122"/>
      <c r="AD18" s="1379"/>
      <c r="AE18" s="122"/>
      <c r="AF18" s="1379"/>
      <c r="AG18" s="117"/>
      <c r="AH18" s="1379"/>
      <c r="AI18" s="122"/>
      <c r="AJ18" s="1379"/>
      <c r="AK18" s="122"/>
      <c r="AL18" s="1379"/>
      <c r="AM18" s="122"/>
      <c r="AN18" s="1305"/>
      <c r="AO18" s="262"/>
      <c r="AP18" s="1394"/>
      <c r="AQ18" s="1397"/>
      <c r="AR18" s="1345"/>
      <c r="AS18" s="140"/>
      <c r="AT18" s="148"/>
      <c r="AU18" s="125"/>
      <c r="AV18" s="151">
        <f t="shared" si="5"/>
        <v>4124988</v>
      </c>
      <c r="AW18" s="152">
        <f t="shared" si="5"/>
        <v>2527230</v>
      </c>
      <c r="AX18" s="148"/>
      <c r="AY18" s="125"/>
      <c r="AZ18" s="151">
        <f t="shared" si="4"/>
        <v>4124988</v>
      </c>
      <c r="BA18" s="152">
        <f t="shared" si="6"/>
        <v>2527230</v>
      </c>
    </row>
    <row r="19" spans="1:53" s="118" customFormat="1" ht="14.25">
      <c r="A19" s="727" t="s">
        <v>44</v>
      </c>
      <c r="B19" s="1368"/>
      <c r="C19" s="119"/>
      <c r="D19" s="121"/>
      <c r="E19" s="125"/>
      <c r="F19" s="124"/>
      <c r="G19" s="125"/>
      <c r="H19" s="124"/>
      <c r="I19" s="125"/>
      <c r="J19" s="148"/>
      <c r="K19" s="125"/>
      <c r="L19" s="148"/>
      <c r="M19" s="125"/>
      <c r="N19" s="124"/>
      <c r="O19" s="125"/>
      <c r="P19" s="121"/>
      <c r="Q19" s="122"/>
      <c r="R19" s="121"/>
      <c r="S19" s="122"/>
      <c r="T19" s="121"/>
      <c r="U19" s="122"/>
      <c r="V19" s="148">
        <v>177493</v>
      </c>
      <c r="W19" s="125">
        <v>187550</v>
      </c>
      <c r="X19" s="1379"/>
      <c r="Y19" s="122"/>
      <c r="Z19" s="1382"/>
      <c r="AA19" s="126"/>
      <c r="AB19" s="1379"/>
      <c r="AC19" s="122"/>
      <c r="AD19" s="1379"/>
      <c r="AE19" s="122"/>
      <c r="AF19" s="1379"/>
      <c r="AG19" s="117"/>
      <c r="AH19" s="1379"/>
      <c r="AI19" s="122"/>
      <c r="AJ19" s="1379"/>
      <c r="AK19" s="122"/>
      <c r="AL19" s="1379"/>
      <c r="AM19" s="122"/>
      <c r="AN19" s="1305"/>
      <c r="AO19" s="262"/>
      <c r="AP19" s="1394"/>
      <c r="AQ19" s="1397"/>
      <c r="AR19" s="1345"/>
      <c r="AS19" s="140"/>
      <c r="AT19" s="148"/>
      <c r="AU19" s="125"/>
      <c r="AV19" s="151">
        <f t="shared" si="5"/>
        <v>177493</v>
      </c>
      <c r="AW19" s="152">
        <f t="shared" si="5"/>
        <v>187550</v>
      </c>
      <c r="AX19" s="148"/>
      <c r="AY19" s="125"/>
      <c r="AZ19" s="151">
        <f t="shared" si="4"/>
        <v>177493</v>
      </c>
      <c r="BA19" s="152">
        <f t="shared" si="6"/>
        <v>187550</v>
      </c>
    </row>
    <row r="20" spans="1:53" s="118" customFormat="1" ht="14.25">
      <c r="A20" s="727" t="s">
        <v>45</v>
      </c>
      <c r="B20" s="1368"/>
      <c r="C20" s="119"/>
      <c r="D20" s="121">
        <v>28095</v>
      </c>
      <c r="E20" s="125">
        <v>16966</v>
      </c>
      <c r="F20" s="124">
        <v>146446</v>
      </c>
      <c r="G20" s="125"/>
      <c r="H20" s="124">
        <v>399112</v>
      </c>
      <c r="I20" s="125">
        <v>486511</v>
      </c>
      <c r="J20" s="148"/>
      <c r="K20" s="125"/>
      <c r="L20" s="148"/>
      <c r="M20" s="125"/>
      <c r="N20" s="124">
        <v>9891</v>
      </c>
      <c r="O20" s="125">
        <v>12621</v>
      </c>
      <c r="P20" s="121">
        <v>1785</v>
      </c>
      <c r="Q20" s="122">
        <v>827</v>
      </c>
      <c r="R20" s="121"/>
      <c r="S20" s="122"/>
      <c r="T20" s="121"/>
      <c r="U20" s="122"/>
      <c r="V20" s="148">
        <v>513231</v>
      </c>
      <c r="W20" s="125">
        <v>394985</v>
      </c>
      <c r="X20" s="1379">
        <v>490359</v>
      </c>
      <c r="Y20" s="122">
        <v>411493</v>
      </c>
      <c r="Z20" s="1382"/>
      <c r="AA20" s="126"/>
      <c r="AB20" s="1379"/>
      <c r="AC20" s="122"/>
      <c r="AD20" s="1379"/>
      <c r="AE20" s="122"/>
      <c r="AF20" s="1379"/>
      <c r="AG20" s="117"/>
      <c r="AH20" s="1379">
        <v>148347</v>
      </c>
      <c r="AI20" s="122">
        <v>132611</v>
      </c>
      <c r="AJ20" s="1379"/>
      <c r="AK20" s="122"/>
      <c r="AL20" s="1379"/>
      <c r="AM20" s="122"/>
      <c r="AN20" s="1305">
        <v>328979</v>
      </c>
      <c r="AO20" s="262">
        <v>194544</v>
      </c>
      <c r="AP20" s="1394"/>
      <c r="AQ20" s="1397"/>
      <c r="AR20" s="1345"/>
      <c r="AS20" s="140"/>
      <c r="AT20" s="148">
        <v>107670</v>
      </c>
      <c r="AU20" s="125">
        <v>71879</v>
      </c>
      <c r="AV20" s="151">
        <f t="shared" si="5"/>
        <v>2173915</v>
      </c>
      <c r="AW20" s="152">
        <f t="shared" si="5"/>
        <v>1722437</v>
      </c>
      <c r="AX20" s="148"/>
      <c r="AY20" s="125"/>
      <c r="AZ20" s="151">
        <f t="shared" si="4"/>
        <v>2173915</v>
      </c>
      <c r="BA20" s="152">
        <f t="shared" si="6"/>
        <v>1722437</v>
      </c>
    </row>
    <row r="21" spans="1:53" s="118" customFormat="1" ht="14.25">
      <c r="A21" s="727" t="s">
        <v>46</v>
      </c>
      <c r="B21" s="1368"/>
      <c r="C21" s="119"/>
      <c r="D21" s="121"/>
      <c r="E21" s="125"/>
      <c r="F21" s="124"/>
      <c r="G21" s="125"/>
      <c r="H21" s="124"/>
      <c r="I21" s="125"/>
      <c r="J21" s="148"/>
      <c r="K21" s="125"/>
      <c r="L21" s="148"/>
      <c r="M21" s="125"/>
      <c r="N21" s="124">
        <v>5723</v>
      </c>
      <c r="O21" s="125">
        <v>6330</v>
      </c>
      <c r="P21" s="121"/>
      <c r="Q21" s="122"/>
      <c r="R21" s="121"/>
      <c r="S21" s="122"/>
      <c r="T21" s="121">
        <v>10778</v>
      </c>
      <c r="U21" s="122">
        <v>6214</v>
      </c>
      <c r="V21" s="148"/>
      <c r="W21" s="125"/>
      <c r="X21" s="1379"/>
      <c r="Y21" s="122"/>
      <c r="Z21" s="1382"/>
      <c r="AA21" s="126"/>
      <c r="AB21" s="1379">
        <v>5875</v>
      </c>
      <c r="AC21" s="122">
        <v>5097.85</v>
      </c>
      <c r="AD21" s="1379"/>
      <c r="AE21" s="122"/>
      <c r="AF21" s="1379"/>
      <c r="AG21" s="117"/>
      <c r="AH21" s="1379"/>
      <c r="AI21" s="122"/>
      <c r="AJ21" s="1379">
        <v>12683</v>
      </c>
      <c r="AK21" s="122">
        <v>4870</v>
      </c>
      <c r="AL21" s="1379"/>
      <c r="AM21" s="122"/>
      <c r="AN21" s="148"/>
      <c r="AO21" s="262"/>
      <c r="AP21" s="1394"/>
      <c r="AQ21" s="1397"/>
      <c r="AR21" s="1345"/>
      <c r="AS21" s="140"/>
      <c r="AT21" s="148"/>
      <c r="AU21" s="125"/>
      <c r="AV21" s="151">
        <f t="shared" si="5"/>
        <v>35059</v>
      </c>
      <c r="AW21" s="152">
        <f t="shared" si="5"/>
        <v>22511.85</v>
      </c>
      <c r="AX21" s="148"/>
      <c r="AY21" s="125"/>
      <c r="AZ21" s="151">
        <f t="shared" si="4"/>
        <v>35059</v>
      </c>
      <c r="BA21" s="152">
        <f t="shared" si="6"/>
        <v>22511.85</v>
      </c>
    </row>
    <row r="22" spans="1:53" s="118" customFormat="1" ht="14.25">
      <c r="A22" s="727" t="s">
        <v>47</v>
      </c>
      <c r="B22" s="1368"/>
      <c r="C22" s="119"/>
      <c r="D22" s="121"/>
      <c r="E22" s="125"/>
      <c r="F22" s="124"/>
      <c r="G22" s="125"/>
      <c r="H22" s="124">
        <v>228297</v>
      </c>
      <c r="I22" s="125">
        <v>168655</v>
      </c>
      <c r="J22" s="148"/>
      <c r="K22" s="125"/>
      <c r="L22" s="148"/>
      <c r="M22" s="125"/>
      <c r="N22" s="124">
        <v>4195</v>
      </c>
      <c r="O22" s="125">
        <v>18394</v>
      </c>
      <c r="P22" s="121"/>
      <c r="Q22" s="122"/>
      <c r="R22" s="121"/>
      <c r="S22" s="122"/>
      <c r="T22" s="153">
        <f>484313+64081+4645</f>
        <v>553039</v>
      </c>
      <c r="U22" s="175">
        <f>627716+661052+6287</f>
        <v>1295055</v>
      </c>
      <c r="V22" s="148"/>
      <c r="W22" s="125"/>
      <c r="X22" s="1379"/>
      <c r="Y22" s="122"/>
      <c r="Z22" s="1382">
        <v>2882</v>
      </c>
      <c r="AA22" s="126">
        <v>1805</v>
      </c>
      <c r="AB22" s="1379"/>
      <c r="AC22" s="122"/>
      <c r="AD22" s="1379">
        <v>34988</v>
      </c>
      <c r="AE22" s="122">
        <f>-2845+17343</f>
        <v>14498</v>
      </c>
      <c r="AF22" s="1379">
        <v>215268</v>
      </c>
      <c r="AG22" s="117">
        <v>259159</v>
      </c>
      <c r="AH22" s="1379"/>
      <c r="AI22" s="122"/>
      <c r="AJ22" s="1379">
        <v>178578</v>
      </c>
      <c r="AK22" s="122">
        <v>222073</v>
      </c>
      <c r="AL22" s="1379"/>
      <c r="AM22" s="122"/>
      <c r="AN22" s="1305">
        <v>8931</v>
      </c>
      <c r="AO22" s="262">
        <v>12174</v>
      </c>
      <c r="AP22" s="1394">
        <v>-14155</v>
      </c>
      <c r="AQ22" s="1397">
        <v>25014</v>
      </c>
      <c r="AR22" s="1345">
        <f>12201+2946+5412+1207</f>
        <v>21766</v>
      </c>
      <c r="AS22" s="140">
        <f>558890+5691+3587+2946+37679</f>
        <v>608793</v>
      </c>
      <c r="AT22" s="148">
        <v>3763</v>
      </c>
      <c r="AU22" s="125">
        <v>3557</v>
      </c>
      <c r="AV22" s="151">
        <f t="shared" si="5"/>
        <v>1237552</v>
      </c>
      <c r="AW22" s="152">
        <f t="shared" si="5"/>
        <v>2629177</v>
      </c>
      <c r="AX22" s="148">
        <v>7460095</v>
      </c>
      <c r="AY22" s="125"/>
      <c r="AZ22" s="151">
        <f t="shared" si="4"/>
        <v>8697647</v>
      </c>
      <c r="BA22" s="152">
        <f t="shared" si="6"/>
        <v>2629177</v>
      </c>
    </row>
    <row r="23" spans="1:53" s="118" customFormat="1" ht="14.25">
      <c r="A23" s="727" t="s">
        <v>48</v>
      </c>
      <c r="B23" s="1368"/>
      <c r="C23" s="119"/>
      <c r="D23" s="121"/>
      <c r="E23" s="125"/>
      <c r="F23" s="124"/>
      <c r="G23" s="125"/>
      <c r="H23" s="124"/>
      <c r="I23" s="125"/>
      <c r="J23" s="148"/>
      <c r="K23" s="125"/>
      <c r="L23" s="148"/>
      <c r="M23" s="125"/>
      <c r="N23" s="124"/>
      <c r="O23" s="125"/>
      <c r="P23" s="121"/>
      <c r="Q23" s="122"/>
      <c r="R23" s="121"/>
      <c r="S23" s="122"/>
      <c r="T23" s="121"/>
      <c r="U23" s="122"/>
      <c r="V23" s="148"/>
      <c r="W23" s="125"/>
      <c r="X23" s="1379"/>
      <c r="Y23" s="122"/>
      <c r="Z23" s="1382"/>
      <c r="AA23" s="126"/>
      <c r="AB23" s="1379"/>
      <c r="AC23" s="122"/>
      <c r="AD23" s="1379"/>
      <c r="AE23" s="122"/>
      <c r="AF23" s="1379"/>
      <c r="AG23" s="117"/>
      <c r="AH23" s="1379"/>
      <c r="AI23" s="122"/>
      <c r="AJ23" s="1379"/>
      <c r="AK23" s="122"/>
      <c r="AL23" s="1379"/>
      <c r="AM23" s="122"/>
      <c r="AN23" s="148"/>
      <c r="AO23" s="125"/>
      <c r="AP23" s="1394"/>
      <c r="AQ23" s="1397"/>
      <c r="AR23" s="1345"/>
      <c r="AS23" s="140"/>
      <c r="AT23" s="148"/>
      <c r="AU23" s="125"/>
      <c r="AV23" s="151"/>
      <c r="AW23" s="152"/>
      <c r="AX23" s="148"/>
      <c r="AY23" s="125"/>
      <c r="AZ23" s="151"/>
      <c r="BA23" s="152"/>
    </row>
    <row r="24" spans="1:53" s="118" customFormat="1" ht="14.25">
      <c r="A24" s="727" t="s">
        <v>31</v>
      </c>
      <c r="B24" s="1369">
        <v>-1779178</v>
      </c>
      <c r="C24" s="154">
        <v>-2291393</v>
      </c>
      <c r="D24" s="132">
        <v>-460058</v>
      </c>
      <c r="E24" s="145">
        <v>-466468</v>
      </c>
      <c r="F24" s="144">
        <v>-480808</v>
      </c>
      <c r="G24" s="145"/>
      <c r="H24" s="144">
        <v>-490293</v>
      </c>
      <c r="I24" s="145">
        <v>-515792</v>
      </c>
      <c r="J24" s="151">
        <v>-173599</v>
      </c>
      <c r="K24" s="145">
        <v>-184066</v>
      </c>
      <c r="L24" s="151">
        <v>-363203</v>
      </c>
      <c r="M24" s="145">
        <v>-547342</v>
      </c>
      <c r="N24" s="144">
        <v>-1393995</v>
      </c>
      <c r="O24" s="145">
        <v>-1501645</v>
      </c>
      <c r="P24" s="132">
        <v>-189128</v>
      </c>
      <c r="Q24" s="155">
        <v>-359557</v>
      </c>
      <c r="R24" s="132">
        <v>-206196</v>
      </c>
      <c r="S24" s="155">
        <v>-757175</v>
      </c>
      <c r="T24" s="132">
        <v>-387234</v>
      </c>
      <c r="U24" s="155">
        <v>-573406</v>
      </c>
      <c r="V24" s="151">
        <v>-2166229</v>
      </c>
      <c r="W24" s="145">
        <v>-3467455</v>
      </c>
      <c r="X24" s="1380">
        <v>-3287039</v>
      </c>
      <c r="Y24" s="155">
        <v>-5202488</v>
      </c>
      <c r="Z24" s="1382">
        <v>-125937</v>
      </c>
      <c r="AA24" s="126">
        <v>-175096</v>
      </c>
      <c r="AB24" s="1380">
        <v>-721622</v>
      </c>
      <c r="AC24" s="155">
        <v>-995990.59</v>
      </c>
      <c r="AD24" s="1385">
        <v>-824021</v>
      </c>
      <c r="AE24" s="1386">
        <v>-1246627</v>
      </c>
      <c r="AF24" s="1380">
        <v>-1239549</v>
      </c>
      <c r="AG24" s="117">
        <v>-1886455</v>
      </c>
      <c r="AH24" s="1380">
        <v>-868979</v>
      </c>
      <c r="AI24" s="155">
        <v>-968580</v>
      </c>
      <c r="AJ24" s="1380">
        <v>-204245</v>
      </c>
      <c r="AK24" s="155">
        <v>-208168</v>
      </c>
      <c r="AL24" s="1379"/>
      <c r="AM24" s="122"/>
      <c r="AN24" s="1305">
        <v>-1484310</v>
      </c>
      <c r="AO24" s="262">
        <v>-1912942</v>
      </c>
      <c r="AP24" s="1394">
        <v>-32357</v>
      </c>
      <c r="AQ24" s="1397">
        <v>-69368</v>
      </c>
      <c r="AR24" s="1345">
        <v>-447398</v>
      </c>
      <c r="AS24" s="140">
        <v>-485213</v>
      </c>
      <c r="AT24" s="151">
        <v>-879947</v>
      </c>
      <c r="AU24" s="145">
        <v>-1555787</v>
      </c>
      <c r="AV24" s="151">
        <f>SUM(B24+D24+F24+H24+J24+L24+N24+P24+R24+T24+V24+X24+Z24+AB24+AD24+AF24+AH24+AJ24+AL24+AN24+AP24+AR24+AT24)</f>
        <v>-18205325</v>
      </c>
      <c r="AW24" s="152">
        <f>SUM(C24+E24+G24+I24+K24+M24+O24+Q24+S24+U24+W24+Y24+AA24+AC24+AE24+AG24+AI24+AK24+AM24+AO24+AQ24+AS24+AU24)</f>
        <v>-25371013.59</v>
      </c>
      <c r="AX24" s="151">
        <v>-1617011</v>
      </c>
      <c r="AY24" s="145"/>
      <c r="AZ24" s="151">
        <f>AV24+AX24</f>
        <v>-19822336</v>
      </c>
      <c r="BA24" s="152">
        <f>AW24+AY24</f>
        <v>-25371013.59</v>
      </c>
    </row>
    <row r="25" spans="1:53" s="118" customFormat="1" ht="14.25">
      <c r="A25" s="727" t="s">
        <v>32</v>
      </c>
      <c r="B25" s="1368"/>
      <c r="C25" s="119"/>
      <c r="D25" s="121"/>
      <c r="E25" s="125"/>
      <c r="F25" s="124"/>
      <c r="G25" s="125"/>
      <c r="H25" s="124"/>
      <c r="I25" s="125"/>
      <c r="J25" s="148"/>
      <c r="K25" s="125"/>
      <c r="L25" s="148"/>
      <c r="M25" s="125"/>
      <c r="N25" s="124"/>
      <c r="O25" s="125"/>
      <c r="P25" s="121"/>
      <c r="Q25" s="122"/>
      <c r="R25" s="121"/>
      <c r="S25" s="122"/>
      <c r="T25" s="121"/>
      <c r="U25" s="122"/>
      <c r="V25" s="148"/>
      <c r="W25" s="125"/>
      <c r="X25" s="1379"/>
      <c r="Y25" s="122"/>
      <c r="Z25" s="1382"/>
      <c r="AA25" s="126"/>
      <c r="AB25" s="1379"/>
      <c r="AC25" s="122"/>
      <c r="AD25" s="1379"/>
      <c r="AE25" s="122"/>
      <c r="AF25" s="1379"/>
      <c r="AG25" s="117"/>
      <c r="AH25" s="1379"/>
      <c r="AI25" s="122"/>
      <c r="AJ25" s="1379"/>
      <c r="AK25" s="122"/>
      <c r="AL25" s="1379"/>
      <c r="AM25" s="122"/>
      <c r="AN25" s="148"/>
      <c r="AO25" s="125"/>
      <c r="AP25" s="1394"/>
      <c r="AQ25" s="1397"/>
      <c r="AR25" s="1345"/>
      <c r="AS25" s="140"/>
      <c r="AT25" s="148"/>
      <c r="AU25" s="125"/>
      <c r="AV25" s="151"/>
      <c r="AW25" s="152"/>
      <c r="AX25" s="1345"/>
      <c r="AY25" s="140"/>
      <c r="AZ25" s="151"/>
      <c r="BA25" s="152"/>
    </row>
    <row r="26" spans="1:53" s="118" customFormat="1" ht="14.25">
      <c r="A26" s="727" t="s">
        <v>49</v>
      </c>
      <c r="B26" s="1368"/>
      <c r="C26" s="119"/>
      <c r="D26" s="121"/>
      <c r="E26" s="125"/>
      <c r="F26" s="124"/>
      <c r="G26" s="125"/>
      <c r="H26" s="124"/>
      <c r="I26" s="125"/>
      <c r="J26" s="148"/>
      <c r="K26" s="125"/>
      <c r="L26" s="148"/>
      <c r="M26" s="125"/>
      <c r="N26" s="124"/>
      <c r="O26" s="125"/>
      <c r="P26" s="121"/>
      <c r="Q26" s="122"/>
      <c r="R26" s="121"/>
      <c r="S26" s="122"/>
      <c r="T26" s="121"/>
      <c r="U26" s="122"/>
      <c r="V26" s="148"/>
      <c r="W26" s="125"/>
      <c r="X26" s="1379"/>
      <c r="Y26" s="122"/>
      <c r="Z26" s="1382"/>
      <c r="AA26" s="126"/>
      <c r="AB26" s="1379"/>
      <c r="AC26" s="122"/>
      <c r="AD26" s="1379"/>
      <c r="AE26" s="122"/>
      <c r="AF26" s="1379"/>
      <c r="AG26" s="117"/>
      <c r="AH26" s="1379"/>
      <c r="AI26" s="122"/>
      <c r="AJ26" s="1379"/>
      <c r="AK26" s="122"/>
      <c r="AL26" s="1379"/>
      <c r="AM26" s="122"/>
      <c r="AN26" s="148"/>
      <c r="AO26" s="125"/>
      <c r="AP26" s="1394"/>
      <c r="AQ26" s="1397"/>
      <c r="AR26" s="1345"/>
      <c r="AS26" s="140"/>
      <c r="AT26" s="148"/>
      <c r="AU26" s="125"/>
      <c r="AV26" s="151"/>
      <c r="AW26" s="152"/>
      <c r="AX26" s="1345"/>
      <c r="AY26" s="140"/>
      <c r="AZ26" s="151"/>
      <c r="BA26" s="152"/>
    </row>
    <row r="27" spans="1:53" s="118" customFormat="1" ht="14.25">
      <c r="A27" s="727" t="s">
        <v>50</v>
      </c>
      <c r="B27" s="1368">
        <v>-5403</v>
      </c>
      <c r="C27" s="119">
        <v>-28915</v>
      </c>
      <c r="D27" s="121">
        <v>-4492</v>
      </c>
      <c r="E27" s="125">
        <v>-2865</v>
      </c>
      <c r="F27" s="124"/>
      <c r="G27" s="125"/>
      <c r="H27" s="124">
        <v>-3833</v>
      </c>
      <c r="I27" s="125">
        <f>-600-1346</f>
        <v>-1946</v>
      </c>
      <c r="J27" s="148">
        <v>-15656</v>
      </c>
      <c r="K27" s="125">
        <v>-12361</v>
      </c>
      <c r="L27" s="148"/>
      <c r="M27" s="125"/>
      <c r="N27" s="124">
        <v>-1648</v>
      </c>
      <c r="O27" s="125">
        <v>-2358</v>
      </c>
      <c r="P27" s="121">
        <v>-4796</v>
      </c>
      <c r="Q27" s="122">
        <v>-13731</v>
      </c>
      <c r="R27" s="121"/>
      <c r="S27" s="122"/>
      <c r="T27" s="121"/>
      <c r="U27" s="122">
        <v>-6973</v>
      </c>
      <c r="V27" s="148">
        <v>-230510</v>
      </c>
      <c r="W27" s="125">
        <v>-631043</v>
      </c>
      <c r="X27" s="1379">
        <v>-386145</v>
      </c>
      <c r="Y27" s="122">
        <v>-408599</v>
      </c>
      <c r="Z27" s="1382">
        <v>-143</v>
      </c>
      <c r="AA27" s="126">
        <v>-137</v>
      </c>
      <c r="AB27" s="1379">
        <v>-7700</v>
      </c>
      <c r="AC27" s="122">
        <v>-6977.07</v>
      </c>
      <c r="AD27" s="1379"/>
      <c r="AE27" s="122"/>
      <c r="AF27" s="1379">
        <v>-36317</v>
      </c>
      <c r="AG27" s="117">
        <v>-89162</v>
      </c>
      <c r="AH27" s="1379">
        <v>-21378</v>
      </c>
      <c r="AI27" s="122">
        <v>-29076</v>
      </c>
      <c r="AJ27" s="1379">
        <v>-672</v>
      </c>
      <c r="AK27" s="122">
        <v>-922</v>
      </c>
      <c r="AL27" s="1379"/>
      <c r="AM27" s="122"/>
      <c r="AN27" s="1305">
        <v>-1209</v>
      </c>
      <c r="AO27" s="262">
        <v>-1526</v>
      </c>
      <c r="AP27" s="1394"/>
      <c r="AQ27" s="1397"/>
      <c r="AR27" s="1345">
        <v>-15508</v>
      </c>
      <c r="AS27" s="140">
        <v>-13080</v>
      </c>
      <c r="AT27" s="148"/>
      <c r="AU27" s="125"/>
      <c r="AV27" s="151">
        <f>SUM(B27+D27+F27+H27+J27+L27+N27+P27+R27+T27+V27+X27+Z27+AB27+AD27+AF27+AH27+AJ27+AL27+AN27+AP27+AR27+AT27)</f>
        <v>-735410</v>
      </c>
      <c r="AW27" s="152">
        <f>SUM(C27+E27+G27+I27+K27+M27+O27+Q27+S27+U27+W27+Y27+AA27+AC27+AE27+AG27+AI27+AK27+AM27+AO27+AQ27+AS27+AU27)</f>
        <v>-1249671.07</v>
      </c>
      <c r="AX27" s="1345">
        <v>-151427</v>
      </c>
      <c r="AY27" s="140"/>
      <c r="AZ27" s="151">
        <f>AV27+AX27</f>
        <v>-886837</v>
      </c>
      <c r="BA27" s="152">
        <f>AW27+AY27</f>
        <v>-1249671.07</v>
      </c>
    </row>
    <row r="28" spans="1:53" s="118" customFormat="1" ht="14.25">
      <c r="A28" s="727" t="s">
        <v>51</v>
      </c>
      <c r="B28" s="1368"/>
      <c r="C28" s="119"/>
      <c r="D28" s="121">
        <v>-23314</v>
      </c>
      <c r="E28" s="125">
        <v>-36195</v>
      </c>
      <c r="F28" s="124"/>
      <c r="G28" s="125"/>
      <c r="H28" s="124"/>
      <c r="I28" s="125">
        <v>-1834</v>
      </c>
      <c r="J28" s="148">
        <v>-850</v>
      </c>
      <c r="K28" s="125"/>
      <c r="L28" s="148"/>
      <c r="M28" s="125"/>
      <c r="N28" s="124"/>
      <c r="O28" s="125"/>
      <c r="P28" s="121"/>
      <c r="Q28" s="122"/>
      <c r="R28" s="121"/>
      <c r="S28" s="122"/>
      <c r="T28" s="121"/>
      <c r="U28" s="122"/>
      <c r="V28" s="148"/>
      <c r="W28" s="125"/>
      <c r="X28" s="1379"/>
      <c r="Y28" s="122"/>
      <c r="Z28" s="1382"/>
      <c r="AA28" s="126"/>
      <c r="AB28" s="1379"/>
      <c r="AC28" s="122"/>
      <c r="AD28" s="1379"/>
      <c r="AE28" s="122">
        <v>-3521</v>
      </c>
      <c r="AF28" s="1379"/>
      <c r="AG28" s="122"/>
      <c r="AH28" s="1379"/>
      <c r="AI28" s="122"/>
      <c r="AJ28" s="1379"/>
      <c r="AK28" s="122"/>
      <c r="AL28" s="1379"/>
      <c r="AM28" s="122"/>
      <c r="AN28" s="1305"/>
      <c r="AO28" s="262"/>
      <c r="AP28" s="1394"/>
      <c r="AQ28" s="1397"/>
      <c r="AR28" s="1345"/>
      <c r="AS28" s="140"/>
      <c r="AT28" s="148"/>
      <c r="AU28" s="125"/>
      <c r="AV28" s="151">
        <f>SUM(B28+D28+F28+H28+J28+L28+N28+P28+R28+T28+V28+X28+Z28+AB28+AD28+AF28+AH28+AJ28+AL28+AN28+AP28+AR28+AT28)</f>
        <v>-24164</v>
      </c>
      <c r="AW28" s="152">
        <f>SUM(C28+E28+G28+I28+K28+M28+O28+Q28+S28+U28+W28+Y28+AA28+AC28+AE28+AG28+AI28+AK28+AM28+AO28+AQ28+AS28+AU28)</f>
        <v>-41550</v>
      </c>
      <c r="AX28" s="1345"/>
      <c r="AY28" s="140"/>
      <c r="AZ28" s="151">
        <f>AV28+AX28</f>
        <v>-24164</v>
      </c>
      <c r="BA28" s="152">
        <f>AW28+AY28</f>
        <v>-41550</v>
      </c>
    </row>
    <row r="29" spans="1:53" s="118" customFormat="1" ht="14.25">
      <c r="A29" s="727" t="s">
        <v>52</v>
      </c>
      <c r="B29" s="1369"/>
      <c r="C29" s="154"/>
      <c r="D29" s="132"/>
      <c r="E29" s="145"/>
      <c r="F29" s="144"/>
      <c r="G29" s="145"/>
      <c r="H29" s="144"/>
      <c r="I29" s="145"/>
      <c r="J29" s="151"/>
      <c r="K29" s="145"/>
      <c r="L29" s="151"/>
      <c r="M29" s="145"/>
      <c r="N29" s="144"/>
      <c r="O29" s="145"/>
      <c r="P29" s="132"/>
      <c r="Q29" s="155"/>
      <c r="R29" s="132"/>
      <c r="S29" s="155"/>
      <c r="T29" s="132"/>
      <c r="U29" s="155"/>
      <c r="V29" s="151"/>
      <c r="W29" s="145"/>
      <c r="X29" s="1380"/>
      <c r="Y29" s="155"/>
      <c r="Z29" s="1382"/>
      <c r="AA29" s="126"/>
      <c r="AB29" s="1380"/>
      <c r="AC29" s="155"/>
      <c r="AD29" s="1385"/>
      <c r="AE29" s="1386"/>
      <c r="AF29" s="1380"/>
      <c r="AG29" s="155"/>
      <c r="AH29" s="1380"/>
      <c r="AI29" s="155"/>
      <c r="AJ29" s="1380"/>
      <c r="AK29" s="155"/>
      <c r="AL29" s="1379"/>
      <c r="AM29" s="122"/>
      <c r="AN29" s="148"/>
      <c r="AO29" s="125"/>
      <c r="AP29" s="1394"/>
      <c r="AQ29" s="1397"/>
      <c r="AR29" s="1345"/>
      <c r="AS29" s="140"/>
      <c r="AT29" s="151"/>
      <c r="AU29" s="145"/>
      <c r="AV29" s="151"/>
      <c r="AW29" s="152"/>
      <c r="AX29" s="151"/>
      <c r="AY29" s="145"/>
      <c r="AZ29" s="151"/>
      <c r="BA29" s="152"/>
    </row>
    <row r="30" spans="1:53" s="118" customFormat="1" ht="14.25">
      <c r="A30" s="727" t="s">
        <v>31</v>
      </c>
      <c r="B30" s="1368"/>
      <c r="C30" s="119"/>
      <c r="D30" s="121"/>
      <c r="E30" s="125"/>
      <c r="F30" s="124"/>
      <c r="G30" s="125"/>
      <c r="H30" s="124"/>
      <c r="I30" s="125"/>
      <c r="J30" s="148"/>
      <c r="K30" s="125"/>
      <c r="L30" s="148"/>
      <c r="M30" s="125"/>
      <c r="N30" s="124"/>
      <c r="O30" s="125"/>
      <c r="P30" s="121"/>
      <c r="Q30" s="122"/>
      <c r="R30" s="121"/>
      <c r="S30" s="122"/>
      <c r="T30" s="121"/>
      <c r="U30" s="122"/>
      <c r="V30" s="148"/>
      <c r="W30" s="125"/>
      <c r="X30" s="1379"/>
      <c r="Y30" s="122"/>
      <c r="Z30" s="1382"/>
      <c r="AA30" s="126"/>
      <c r="AB30" s="1379"/>
      <c r="AC30" s="122"/>
      <c r="AD30" s="1379"/>
      <c r="AE30" s="122"/>
      <c r="AF30" s="1379"/>
      <c r="AG30" s="122"/>
      <c r="AH30" s="1379"/>
      <c r="AI30" s="122"/>
      <c r="AJ30" s="1379"/>
      <c r="AK30" s="122"/>
      <c r="AL30" s="1379"/>
      <c r="AM30" s="122"/>
      <c r="AN30" s="148"/>
      <c r="AO30" s="125"/>
      <c r="AP30" s="1394"/>
      <c r="AQ30" s="1397"/>
      <c r="AR30" s="1345"/>
      <c r="AS30" s="140"/>
      <c r="AT30" s="148"/>
      <c r="AU30" s="125"/>
      <c r="AV30" s="151">
        <f>SUM(B30+D30+F30+H30+J30+L30+N30+P30+R30+T30+V30+X30+Z30+AB30+AD30+AF30+AH30+AJ30+AL30+AN30+AP30+AR30+AT30)</f>
        <v>0</v>
      </c>
      <c r="AW30" s="152">
        <f>SUM(C30+E30+G30+I30+K30+M30+O30+Q30+S30+U30+W30+Y30+AA30+AC30+AE30+AG30+AI30+AK30+AM30+AO30+AQ30+AS30+AU30)</f>
        <v>0</v>
      </c>
      <c r="AX30" s="1345"/>
      <c r="AY30" s="140"/>
      <c r="AZ30" s="151">
        <f>AV30+AX30</f>
        <v>0</v>
      </c>
      <c r="BA30" s="152">
        <f>AW30+AY30</f>
        <v>0</v>
      </c>
    </row>
    <row r="31" spans="1:53" s="118" customFormat="1" ht="14.25">
      <c r="A31" s="727" t="s">
        <v>32</v>
      </c>
      <c r="B31" s="1368"/>
      <c r="C31" s="119"/>
      <c r="D31" s="121"/>
      <c r="E31" s="125"/>
      <c r="F31" s="124"/>
      <c r="G31" s="125"/>
      <c r="H31" s="124"/>
      <c r="I31" s="125"/>
      <c r="J31" s="148"/>
      <c r="K31" s="125"/>
      <c r="L31" s="148"/>
      <c r="M31" s="125"/>
      <c r="N31" s="124"/>
      <c r="O31" s="125"/>
      <c r="P31" s="121"/>
      <c r="Q31" s="122"/>
      <c r="R31" s="121"/>
      <c r="S31" s="122"/>
      <c r="T31" s="121"/>
      <c r="U31" s="122"/>
      <c r="V31" s="148"/>
      <c r="W31" s="125"/>
      <c r="X31" s="1379"/>
      <c r="Y31" s="122"/>
      <c r="Z31" s="1382"/>
      <c r="AA31" s="126"/>
      <c r="AB31" s="1379"/>
      <c r="AC31" s="122"/>
      <c r="AD31" s="1379"/>
      <c r="AE31" s="122"/>
      <c r="AF31" s="1379"/>
      <c r="AG31" s="122"/>
      <c r="AH31" s="1379"/>
      <c r="AI31" s="122"/>
      <c r="AJ31" s="1379"/>
      <c r="AK31" s="122"/>
      <c r="AL31" s="1379"/>
      <c r="AM31" s="122"/>
      <c r="AN31" s="148"/>
      <c r="AO31" s="125"/>
      <c r="AP31" s="1394"/>
      <c r="AQ31" s="1397"/>
      <c r="AR31" s="1345"/>
      <c r="AS31" s="140"/>
      <c r="AT31" s="148"/>
      <c r="AU31" s="125"/>
      <c r="AV31" s="151"/>
      <c r="AW31" s="152"/>
      <c r="AX31" s="1345"/>
      <c r="AY31" s="140"/>
      <c r="AZ31" s="151"/>
      <c r="BA31" s="152"/>
    </row>
    <row r="32" spans="1:53" s="118" customFormat="1" ht="14.25">
      <c r="A32" s="727" t="s">
        <v>49</v>
      </c>
      <c r="B32" s="1368"/>
      <c r="C32" s="119"/>
      <c r="D32" s="121"/>
      <c r="E32" s="125"/>
      <c r="F32" s="124"/>
      <c r="G32" s="125"/>
      <c r="H32" s="124"/>
      <c r="I32" s="125"/>
      <c r="J32" s="148"/>
      <c r="K32" s="125"/>
      <c r="L32" s="148"/>
      <c r="M32" s="125"/>
      <c r="N32" s="124"/>
      <c r="O32" s="125"/>
      <c r="P32" s="121"/>
      <c r="Q32" s="122"/>
      <c r="R32" s="121"/>
      <c r="S32" s="122"/>
      <c r="T32" s="121"/>
      <c r="U32" s="122"/>
      <c r="V32" s="148"/>
      <c r="W32" s="125"/>
      <c r="X32" s="1379"/>
      <c r="Y32" s="122"/>
      <c r="Z32" s="1382"/>
      <c r="AA32" s="126"/>
      <c r="AB32" s="1379"/>
      <c r="AC32" s="122"/>
      <c r="AD32" s="1379"/>
      <c r="AE32" s="122"/>
      <c r="AF32" s="1379"/>
      <c r="AG32" s="122"/>
      <c r="AH32" s="1379"/>
      <c r="AI32" s="122"/>
      <c r="AJ32" s="1379"/>
      <c r="AK32" s="122"/>
      <c r="AL32" s="1379"/>
      <c r="AM32" s="122"/>
      <c r="AN32" s="148"/>
      <c r="AO32" s="125"/>
      <c r="AP32" s="1394"/>
      <c r="AQ32" s="1397"/>
      <c r="AR32" s="1345"/>
      <c r="AS32" s="140"/>
      <c r="AT32" s="148"/>
      <c r="AU32" s="125"/>
      <c r="AV32" s="151"/>
      <c r="AW32" s="152"/>
      <c r="AX32" s="1345"/>
      <c r="AY32" s="140"/>
      <c r="AZ32" s="151"/>
      <c r="BA32" s="152"/>
    </row>
    <row r="33" spans="1:53" s="118" customFormat="1" ht="15" thickBot="1">
      <c r="A33" s="1366" t="s">
        <v>53</v>
      </c>
      <c r="B33" s="1370"/>
      <c r="C33" s="156"/>
      <c r="D33" s="157"/>
      <c r="E33" s="158"/>
      <c r="F33" s="160"/>
      <c r="G33" s="158"/>
      <c r="H33" s="160"/>
      <c r="I33" s="158"/>
      <c r="J33" s="159"/>
      <c r="K33" s="158"/>
      <c r="L33" s="159"/>
      <c r="M33" s="158"/>
      <c r="N33" s="160"/>
      <c r="O33" s="158"/>
      <c r="P33" s="157"/>
      <c r="Q33" s="161"/>
      <c r="R33" s="157"/>
      <c r="S33" s="161"/>
      <c r="T33" s="157"/>
      <c r="U33" s="161"/>
      <c r="V33" s="159"/>
      <c r="W33" s="158"/>
      <c r="X33" s="1381"/>
      <c r="Y33" s="161"/>
      <c r="Z33" s="1383"/>
      <c r="AA33" s="1384"/>
      <c r="AB33" s="1381"/>
      <c r="AC33" s="161"/>
      <c r="AD33" s="1381"/>
      <c r="AE33" s="161"/>
      <c r="AF33" s="1381"/>
      <c r="AG33" s="161"/>
      <c r="AH33" s="1381"/>
      <c r="AI33" s="161"/>
      <c r="AJ33" s="1381"/>
      <c r="AK33" s="161"/>
      <c r="AL33" s="1381"/>
      <c r="AM33" s="161"/>
      <c r="AN33" s="1393"/>
      <c r="AO33" s="263"/>
      <c r="AP33" s="1395"/>
      <c r="AQ33" s="1398"/>
      <c r="AR33" s="1346"/>
      <c r="AS33" s="618"/>
      <c r="AT33" s="159"/>
      <c r="AU33" s="158"/>
      <c r="AV33" s="167"/>
      <c r="AW33" s="168"/>
      <c r="AX33" s="1346"/>
      <c r="AY33" s="618"/>
      <c r="AZ33" s="167"/>
      <c r="BA33" s="168"/>
    </row>
    <row r="34" spans="1:53" s="853" customFormat="1" ht="15" thickBot="1">
      <c r="A34" s="933" t="s">
        <v>54</v>
      </c>
      <c r="B34" s="1371">
        <f aca="true" t="shared" si="7" ref="B34:AE34">SUM(B6:B33)</f>
        <v>52485104</v>
      </c>
      <c r="C34" s="936">
        <f t="shared" si="7"/>
        <v>55460877</v>
      </c>
      <c r="D34" s="927">
        <f t="shared" si="7"/>
        <v>2969473</v>
      </c>
      <c r="E34" s="928">
        <f t="shared" si="7"/>
        <v>2802800</v>
      </c>
      <c r="F34" s="851">
        <f t="shared" si="7"/>
        <v>11817416</v>
      </c>
      <c r="G34" s="924">
        <f t="shared" si="7"/>
        <v>0</v>
      </c>
      <c r="H34" s="828">
        <f t="shared" si="7"/>
        <v>53321477</v>
      </c>
      <c r="I34" s="830">
        <f t="shared" si="7"/>
        <v>67140658</v>
      </c>
      <c r="J34" s="831">
        <f t="shared" si="7"/>
        <v>4337263</v>
      </c>
      <c r="K34" s="924">
        <f t="shared" si="7"/>
        <v>3938841</v>
      </c>
      <c r="L34" s="831">
        <f t="shared" si="7"/>
        <v>16069256</v>
      </c>
      <c r="M34" s="830">
        <f t="shared" si="7"/>
        <v>17226978</v>
      </c>
      <c r="N34" s="828">
        <f t="shared" si="7"/>
        <v>3219154</v>
      </c>
      <c r="O34" s="830">
        <f t="shared" si="7"/>
        <v>3937393</v>
      </c>
      <c r="P34" s="828">
        <f t="shared" si="7"/>
        <v>668525</v>
      </c>
      <c r="Q34" s="830">
        <f t="shared" si="7"/>
        <v>880132</v>
      </c>
      <c r="R34" s="828">
        <f t="shared" si="7"/>
        <v>3833775</v>
      </c>
      <c r="S34" s="830">
        <f t="shared" si="7"/>
        <v>14618979</v>
      </c>
      <c r="T34" s="828">
        <f t="shared" si="7"/>
        <v>3653105</v>
      </c>
      <c r="U34" s="830">
        <f t="shared" si="7"/>
        <v>4545175</v>
      </c>
      <c r="V34" s="831">
        <f t="shared" si="7"/>
        <v>134146391</v>
      </c>
      <c r="W34" s="830">
        <f t="shared" si="7"/>
        <v>181730378</v>
      </c>
      <c r="X34" s="831">
        <f t="shared" si="7"/>
        <v>141885086</v>
      </c>
      <c r="Y34" s="830">
        <f t="shared" si="7"/>
        <v>193026449</v>
      </c>
      <c r="Z34" s="831">
        <f t="shared" si="7"/>
        <v>5788980</v>
      </c>
      <c r="AA34" s="830">
        <f t="shared" si="7"/>
        <v>6973089</v>
      </c>
      <c r="AB34" s="831">
        <f t="shared" si="7"/>
        <v>13584153</v>
      </c>
      <c r="AC34" s="830">
        <f t="shared" si="7"/>
        <v>30939098.099999998</v>
      </c>
      <c r="AD34" s="831">
        <f t="shared" si="7"/>
        <v>29356973</v>
      </c>
      <c r="AE34" s="830">
        <f t="shared" si="7"/>
        <v>35722280</v>
      </c>
      <c r="AF34" s="831">
        <f aca="true" t="shared" si="8" ref="AF34:AU34">SUM(AF6:AF33)</f>
        <v>57164735</v>
      </c>
      <c r="AG34" s="924">
        <f t="shared" si="8"/>
        <v>66205121</v>
      </c>
      <c r="AH34" s="831">
        <f t="shared" si="8"/>
        <v>19363344</v>
      </c>
      <c r="AI34" s="830">
        <f t="shared" si="8"/>
        <v>23350769</v>
      </c>
      <c r="AJ34" s="831">
        <f t="shared" si="8"/>
        <v>35385108</v>
      </c>
      <c r="AK34" s="830">
        <f t="shared" si="8"/>
        <v>30837293</v>
      </c>
      <c r="AL34" s="1389">
        <f t="shared" si="8"/>
        <v>0</v>
      </c>
      <c r="AM34" s="830">
        <f t="shared" si="8"/>
        <v>0</v>
      </c>
      <c r="AN34" s="1389">
        <f t="shared" si="8"/>
        <v>152310776</v>
      </c>
      <c r="AO34" s="830">
        <f t="shared" si="8"/>
        <v>161753462</v>
      </c>
      <c r="AP34" s="1389">
        <f t="shared" si="8"/>
        <v>5709989</v>
      </c>
      <c r="AQ34" s="830">
        <f t="shared" si="8"/>
        <v>4954139</v>
      </c>
      <c r="AR34" s="1389">
        <f t="shared" si="8"/>
        <v>9088354</v>
      </c>
      <c r="AS34" s="830">
        <f t="shared" si="8"/>
        <v>10349631</v>
      </c>
      <c r="AT34" s="1389">
        <f t="shared" si="8"/>
        <v>19629260</v>
      </c>
      <c r="AU34" s="830">
        <f t="shared" si="8"/>
        <v>23674644</v>
      </c>
      <c r="AV34" s="834">
        <f>SUM(B34+D34+F34+H34+J34+L34+N34+P34+R34+T34+V34+X34+Z34+AB34+AD34+AF34+AH34+AJ34+AL34+AN34+AP34+AR34+AT34)</f>
        <v>775787697</v>
      </c>
      <c r="AW34" s="852">
        <f>SUM(C34+E34+G34+I34+K34+M34+O34+Q34+S34+U34+W34+Y34+AA34+AC34+AE34+AG34+AI34+AK34+AM34+AO34+AQ34+AS34+AU34)</f>
        <v>940068186.1</v>
      </c>
      <c r="AX34" s="1399">
        <f>SUM(AX6:AX33)</f>
        <v>2492848617</v>
      </c>
      <c r="AY34" s="918">
        <f>SUM(AY6:AY33)</f>
        <v>0</v>
      </c>
      <c r="AZ34" s="834">
        <f>AV34+AX34</f>
        <v>3268636314</v>
      </c>
      <c r="BA34" s="852">
        <f>AW34+AY34</f>
        <v>940068186.1</v>
      </c>
    </row>
    <row r="35" spans="1:53" s="118" customFormat="1" ht="15" thickBot="1">
      <c r="A35" s="934" t="s">
        <v>55</v>
      </c>
      <c r="B35" s="1372"/>
      <c r="C35" s="937"/>
      <c r="D35" s="929"/>
      <c r="E35" s="920"/>
      <c r="F35" s="925"/>
      <c r="G35" s="926"/>
      <c r="H35" s="172"/>
      <c r="I35" s="171"/>
      <c r="J35" s="1375"/>
      <c r="K35" s="926"/>
      <c r="L35" s="172"/>
      <c r="M35" s="171"/>
      <c r="N35" s="172"/>
      <c r="O35" s="171"/>
      <c r="P35" s="169"/>
      <c r="Q35" s="170"/>
      <c r="R35" s="169"/>
      <c r="S35" s="170"/>
      <c r="T35" s="169"/>
      <c r="U35" s="170"/>
      <c r="V35" s="172"/>
      <c r="W35" s="171"/>
      <c r="X35" s="169"/>
      <c r="Y35" s="170"/>
      <c r="Z35" s="169"/>
      <c r="AA35" s="170"/>
      <c r="AB35" s="169"/>
      <c r="AC35" s="170"/>
      <c r="AD35" s="169"/>
      <c r="AE35" s="170"/>
      <c r="AF35" s="169"/>
      <c r="AG35" s="170"/>
      <c r="AH35" s="169"/>
      <c r="AI35" s="170"/>
      <c r="AJ35" s="169"/>
      <c r="AK35" s="170"/>
      <c r="AL35" s="1390"/>
      <c r="AM35" s="264"/>
      <c r="AN35" s="172"/>
      <c r="AO35" s="171"/>
      <c r="AP35" s="172"/>
      <c r="AQ35" s="171"/>
      <c r="AR35" s="172"/>
      <c r="AS35" s="171"/>
      <c r="AT35" s="172"/>
      <c r="AU35" s="171"/>
      <c r="AV35" s="173"/>
      <c r="AW35" s="174"/>
      <c r="AX35" s="1400"/>
      <c r="AY35" s="921"/>
      <c r="AZ35" s="173"/>
      <c r="BA35" s="174"/>
    </row>
    <row r="36" spans="1:53" s="118" customFormat="1" ht="15" thickBot="1">
      <c r="A36" s="934" t="s">
        <v>56</v>
      </c>
      <c r="B36" s="1373">
        <f aca="true" t="shared" si="9" ref="B36:AG36">B34</f>
        <v>52485104</v>
      </c>
      <c r="C36" s="938">
        <f t="shared" si="9"/>
        <v>55460877</v>
      </c>
      <c r="D36" s="930">
        <f t="shared" si="9"/>
        <v>2969473</v>
      </c>
      <c r="E36" s="926">
        <f t="shared" si="9"/>
        <v>2802800</v>
      </c>
      <c r="F36" s="919">
        <f t="shared" si="9"/>
        <v>11817416</v>
      </c>
      <c r="G36" s="920">
        <f t="shared" si="9"/>
        <v>0</v>
      </c>
      <c r="H36" s="172">
        <f t="shared" si="9"/>
        <v>53321477</v>
      </c>
      <c r="I36" s="171">
        <f t="shared" si="9"/>
        <v>67140658</v>
      </c>
      <c r="J36" s="1376">
        <f t="shared" si="9"/>
        <v>4337263</v>
      </c>
      <c r="K36" s="920">
        <f t="shared" si="9"/>
        <v>3938841</v>
      </c>
      <c r="L36" s="172">
        <f t="shared" si="9"/>
        <v>16069256</v>
      </c>
      <c r="M36" s="171">
        <f t="shared" si="9"/>
        <v>17226978</v>
      </c>
      <c r="N36" s="172">
        <f t="shared" si="9"/>
        <v>3219154</v>
      </c>
      <c r="O36" s="171">
        <f t="shared" si="9"/>
        <v>3937393</v>
      </c>
      <c r="P36" s="172">
        <f t="shared" si="9"/>
        <v>668525</v>
      </c>
      <c r="Q36" s="171">
        <f t="shared" si="9"/>
        <v>880132</v>
      </c>
      <c r="R36" s="172">
        <f t="shared" si="9"/>
        <v>3833775</v>
      </c>
      <c r="S36" s="171">
        <f t="shared" si="9"/>
        <v>14618979</v>
      </c>
      <c r="T36" s="172">
        <f t="shared" si="9"/>
        <v>3653105</v>
      </c>
      <c r="U36" s="171">
        <f t="shared" si="9"/>
        <v>4545175</v>
      </c>
      <c r="V36" s="172">
        <f t="shared" si="9"/>
        <v>134146391</v>
      </c>
      <c r="W36" s="171">
        <f t="shared" si="9"/>
        <v>181730378</v>
      </c>
      <c r="X36" s="172">
        <v>145558270</v>
      </c>
      <c r="Y36" s="171">
        <v>198637536</v>
      </c>
      <c r="Z36" s="172">
        <f t="shared" si="9"/>
        <v>5788980</v>
      </c>
      <c r="AA36" s="171">
        <f t="shared" si="9"/>
        <v>6973089</v>
      </c>
      <c r="AB36" s="172">
        <f t="shared" si="9"/>
        <v>13584153</v>
      </c>
      <c r="AC36" s="171">
        <f t="shared" si="9"/>
        <v>30939098.099999998</v>
      </c>
      <c r="AD36" s="172">
        <f t="shared" si="9"/>
        <v>29356973</v>
      </c>
      <c r="AE36" s="171">
        <f t="shared" si="9"/>
        <v>35722280</v>
      </c>
      <c r="AF36" s="172">
        <f t="shared" si="9"/>
        <v>57164735</v>
      </c>
      <c r="AG36" s="171">
        <f t="shared" si="9"/>
        <v>66205121</v>
      </c>
      <c r="AH36" s="172">
        <f>AH34</f>
        <v>19363344</v>
      </c>
      <c r="AI36" s="171">
        <f>AI34</f>
        <v>23350769</v>
      </c>
      <c r="AJ36" s="135">
        <f>AJ34</f>
        <v>35385108</v>
      </c>
      <c r="AK36" s="136">
        <f>AK34</f>
        <v>30837293</v>
      </c>
      <c r="AL36" s="1390"/>
      <c r="AM36" s="264"/>
      <c r="AN36" s="172">
        <f aca="true" t="shared" si="10" ref="AN36:AU36">AN34</f>
        <v>152310776</v>
      </c>
      <c r="AO36" s="171">
        <f t="shared" si="10"/>
        <v>161753462</v>
      </c>
      <c r="AP36" s="172">
        <f t="shared" si="10"/>
        <v>5709989</v>
      </c>
      <c r="AQ36" s="171">
        <f t="shared" si="10"/>
        <v>4954139</v>
      </c>
      <c r="AR36" s="172">
        <f t="shared" si="10"/>
        <v>9088354</v>
      </c>
      <c r="AS36" s="171">
        <f t="shared" si="10"/>
        <v>10349631</v>
      </c>
      <c r="AT36" s="172">
        <f t="shared" si="10"/>
        <v>19629260</v>
      </c>
      <c r="AU36" s="171">
        <f t="shared" si="10"/>
        <v>23674644</v>
      </c>
      <c r="AV36" s="173">
        <f>SUM(B36+D36+F36+H36+J36+L36+N36+P36+R36+T36+V36+X36+Z36+AB36+AD36+AF36+AH36+AJ36+AL36+AN36+AP36+AR36+AT36)</f>
        <v>779460881</v>
      </c>
      <c r="AW36" s="174">
        <f>SUM(C36+E36+G36+I36+K36+M36+O36+Q36+S36+U36+W36+Y36+AA36+AC36+AE36+AG36+AI36+AK36+AM36+AO36+AQ36+AS36+AU36)</f>
        <v>945679273.1</v>
      </c>
      <c r="AX36" s="1400">
        <f>AX34</f>
        <v>2492848617</v>
      </c>
      <c r="AY36" s="921">
        <f>AY34</f>
        <v>0</v>
      </c>
      <c r="AZ36" s="173">
        <f>AV36+AX36</f>
        <v>3272309498</v>
      </c>
      <c r="BA36" s="174">
        <f>AW36+AY36</f>
        <v>945679273.1</v>
      </c>
    </row>
    <row r="37" spans="1:53" s="118" customFormat="1" ht="15" thickBot="1">
      <c r="A37" s="935" t="s">
        <v>57</v>
      </c>
      <c r="B37" s="1372"/>
      <c r="C37" s="937"/>
      <c r="D37" s="929"/>
      <c r="E37" s="920"/>
      <c r="F37" s="925"/>
      <c r="G37" s="926"/>
      <c r="H37" s="135"/>
      <c r="I37" s="136"/>
      <c r="J37" s="1375"/>
      <c r="K37" s="926"/>
      <c r="L37" s="135"/>
      <c r="M37" s="136"/>
      <c r="N37" s="135"/>
      <c r="O37" s="136"/>
      <c r="P37" s="153"/>
      <c r="Q37" s="175"/>
      <c r="R37" s="153"/>
      <c r="S37" s="175"/>
      <c r="T37" s="153"/>
      <c r="U37" s="175"/>
      <c r="V37" s="135"/>
      <c r="W37" s="136"/>
      <c r="X37" s="153"/>
      <c r="Y37" s="175"/>
      <c r="Z37" s="153"/>
      <c r="AA37" s="175"/>
      <c r="AB37" s="153"/>
      <c r="AC37" s="175"/>
      <c r="AD37" s="153"/>
      <c r="AE37" s="175"/>
      <c r="AF37" s="153"/>
      <c r="AG37" s="175"/>
      <c r="AH37" s="153"/>
      <c r="AI37" s="175"/>
      <c r="AJ37" s="1387"/>
      <c r="AK37" s="304"/>
      <c r="AL37" s="613"/>
      <c r="AM37" s="615"/>
      <c r="AN37" s="135"/>
      <c r="AO37" s="136"/>
      <c r="AP37" s="135"/>
      <c r="AQ37" s="136"/>
      <c r="AR37" s="135"/>
      <c r="AS37" s="136"/>
      <c r="AT37" s="135"/>
      <c r="AU37" s="136"/>
      <c r="AV37" s="616"/>
      <c r="AW37" s="617"/>
      <c r="AX37" s="1400"/>
      <c r="AY37" s="921"/>
      <c r="AZ37" s="616"/>
      <c r="BA37" s="617"/>
    </row>
    <row r="38" spans="1:53" s="853" customFormat="1" ht="15" thickBot="1">
      <c r="A38" s="933" t="s">
        <v>54</v>
      </c>
      <c r="B38" s="1374">
        <f aca="true" t="shared" si="11" ref="B38:AG38">B36</f>
        <v>52485104</v>
      </c>
      <c r="C38" s="939">
        <f t="shared" si="11"/>
        <v>55460877</v>
      </c>
      <c r="D38" s="931">
        <f t="shared" si="11"/>
        <v>2969473</v>
      </c>
      <c r="E38" s="932">
        <f t="shared" si="11"/>
        <v>2802800</v>
      </c>
      <c r="F38" s="922">
        <f t="shared" si="11"/>
        <v>11817416</v>
      </c>
      <c r="G38" s="923">
        <f t="shared" si="11"/>
        <v>0</v>
      </c>
      <c r="H38" s="857">
        <f t="shared" si="11"/>
        <v>53321477</v>
      </c>
      <c r="I38" s="856">
        <f t="shared" si="11"/>
        <v>67140658</v>
      </c>
      <c r="J38" s="1377">
        <f t="shared" si="11"/>
        <v>4337263</v>
      </c>
      <c r="K38" s="923">
        <f t="shared" si="11"/>
        <v>3938841</v>
      </c>
      <c r="L38" s="857">
        <f t="shared" si="11"/>
        <v>16069256</v>
      </c>
      <c r="M38" s="856">
        <f t="shared" si="11"/>
        <v>17226978</v>
      </c>
      <c r="N38" s="857">
        <f t="shared" si="11"/>
        <v>3219154</v>
      </c>
      <c r="O38" s="856">
        <f t="shared" si="11"/>
        <v>3937393</v>
      </c>
      <c r="P38" s="854">
        <f t="shared" si="11"/>
        <v>668525</v>
      </c>
      <c r="Q38" s="855">
        <f t="shared" si="11"/>
        <v>880132</v>
      </c>
      <c r="R38" s="854">
        <f t="shared" si="11"/>
        <v>3833775</v>
      </c>
      <c r="S38" s="855">
        <f t="shared" si="11"/>
        <v>14618979</v>
      </c>
      <c r="T38" s="854">
        <f t="shared" si="11"/>
        <v>3653105</v>
      </c>
      <c r="U38" s="855">
        <f t="shared" si="11"/>
        <v>4545175</v>
      </c>
      <c r="V38" s="857">
        <f t="shared" si="11"/>
        <v>134146391</v>
      </c>
      <c r="W38" s="856">
        <f t="shared" si="11"/>
        <v>181730378</v>
      </c>
      <c r="X38" s="854">
        <f t="shared" si="11"/>
        <v>145558270</v>
      </c>
      <c r="Y38" s="855">
        <f t="shared" si="11"/>
        <v>198637536</v>
      </c>
      <c r="Z38" s="854">
        <f t="shared" si="11"/>
        <v>5788980</v>
      </c>
      <c r="AA38" s="855">
        <f t="shared" si="11"/>
        <v>6973089</v>
      </c>
      <c r="AB38" s="854">
        <f t="shared" si="11"/>
        <v>13584153</v>
      </c>
      <c r="AC38" s="855">
        <f t="shared" si="11"/>
        <v>30939098.099999998</v>
      </c>
      <c r="AD38" s="854">
        <f t="shared" si="11"/>
        <v>29356973</v>
      </c>
      <c r="AE38" s="855">
        <f t="shared" si="11"/>
        <v>35722280</v>
      </c>
      <c r="AF38" s="854">
        <f t="shared" si="11"/>
        <v>57164735</v>
      </c>
      <c r="AG38" s="855">
        <f t="shared" si="11"/>
        <v>66205121</v>
      </c>
      <c r="AH38" s="854">
        <f aca="true" t="shared" si="12" ref="AH38:AU38">AH36</f>
        <v>19363344</v>
      </c>
      <c r="AI38" s="855">
        <f t="shared" si="12"/>
        <v>23350769</v>
      </c>
      <c r="AJ38" s="1388">
        <f t="shared" si="12"/>
        <v>35385108</v>
      </c>
      <c r="AK38" s="858">
        <f t="shared" si="12"/>
        <v>30837293</v>
      </c>
      <c r="AL38" s="1388">
        <f t="shared" si="12"/>
        <v>0</v>
      </c>
      <c r="AM38" s="858">
        <f t="shared" si="12"/>
        <v>0</v>
      </c>
      <c r="AN38" s="857">
        <f t="shared" si="12"/>
        <v>152310776</v>
      </c>
      <c r="AO38" s="856">
        <f t="shared" si="12"/>
        <v>161753462</v>
      </c>
      <c r="AP38" s="857">
        <f t="shared" si="12"/>
        <v>5709989</v>
      </c>
      <c r="AQ38" s="856">
        <f t="shared" si="12"/>
        <v>4954139</v>
      </c>
      <c r="AR38" s="857">
        <f t="shared" si="12"/>
        <v>9088354</v>
      </c>
      <c r="AS38" s="856">
        <f t="shared" si="12"/>
        <v>10349631</v>
      </c>
      <c r="AT38" s="857">
        <f t="shared" si="12"/>
        <v>19629260</v>
      </c>
      <c r="AU38" s="856">
        <f t="shared" si="12"/>
        <v>23674644</v>
      </c>
      <c r="AV38" s="834">
        <f>SUM(B38+D38+F38+H38+J38+L38+N38+P38+R38+T38+V38+X38+Z38+AB38+AD38+AF38+AH38+AJ38+AL38+AN38+AP38+AR38+AT38)</f>
        <v>779460881</v>
      </c>
      <c r="AW38" s="852">
        <f>SUM(C38+E38+G38+I38+K38+M38+O38+Q38+S38+U38+W38+Y38+AA38+AC38+AE38+AG38+AI38+AK38+AM38+AO38+AQ38+AS38+AU38)</f>
        <v>945679273.1</v>
      </c>
      <c r="AX38" s="1377">
        <f>AX36</f>
        <v>2492848617</v>
      </c>
      <c r="AY38" s="923">
        <f>AY36</f>
        <v>0</v>
      </c>
      <c r="AZ38" s="834">
        <f>AV38+AX38</f>
        <v>3272309498</v>
      </c>
      <c r="BA38" s="852">
        <f>AW38+AY38</f>
        <v>945679273.1</v>
      </c>
    </row>
    <row r="39" spans="1:53" s="118" customFormat="1" ht="14.25">
      <c r="A39" s="102"/>
      <c r="E39" s="176"/>
      <c r="V39" s="176"/>
      <c r="W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</row>
  </sheetData>
  <sheetProtection/>
  <mergeCells count="29">
    <mergeCell ref="F3:G3"/>
    <mergeCell ref="D3:E3"/>
    <mergeCell ref="B3:C3"/>
    <mergeCell ref="AJ3:AK3"/>
    <mergeCell ref="AH3:AI3"/>
    <mergeCell ref="AF3:AG3"/>
    <mergeCell ref="AD3:AE3"/>
    <mergeCell ref="AB3:AC3"/>
    <mergeCell ref="AZ3:BA3"/>
    <mergeCell ref="AX3:AY3"/>
    <mergeCell ref="AV3:AW3"/>
    <mergeCell ref="AT3:AU3"/>
    <mergeCell ref="AR3:AS3"/>
    <mergeCell ref="A1:AY1"/>
    <mergeCell ref="A2:AY2"/>
    <mergeCell ref="A3:A4"/>
    <mergeCell ref="Z3:AA3"/>
    <mergeCell ref="V3:W3"/>
    <mergeCell ref="X3:Y3"/>
    <mergeCell ref="T3:U3"/>
    <mergeCell ref="R3:S3"/>
    <mergeCell ref="P3:Q3"/>
    <mergeCell ref="AL3:AM3"/>
    <mergeCell ref="L3:M3"/>
    <mergeCell ref="AN3:AO3"/>
    <mergeCell ref="AP3:AQ3"/>
    <mergeCell ref="N3:O3"/>
    <mergeCell ref="H3:I3"/>
    <mergeCell ref="J3:K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A3"/>
    </sheetView>
  </sheetViews>
  <sheetFormatPr defaultColWidth="9.140625" defaultRowHeight="15"/>
  <cols>
    <col min="1" max="1" width="55.7109375" style="114" customWidth="1"/>
    <col min="2" max="2" width="10.421875" style="114" bestFit="1" customWidth="1"/>
    <col min="3" max="3" width="10.421875" style="114" customWidth="1"/>
    <col min="4" max="4" width="10.7109375" style="114" bestFit="1" customWidth="1"/>
    <col min="5" max="5" width="10.57421875" style="114" bestFit="1" customWidth="1"/>
    <col min="6" max="6" width="10.421875" style="114" bestFit="1" customWidth="1"/>
    <col min="7" max="7" width="11.421875" style="114" bestFit="1" customWidth="1"/>
    <col min="8" max="8" width="10.421875" style="114" bestFit="1" customWidth="1"/>
    <col min="9" max="9" width="11.57421875" style="114" bestFit="1" customWidth="1"/>
    <col min="10" max="11" width="10.421875" style="114" bestFit="1" customWidth="1"/>
    <col min="12" max="13" width="11.57421875" style="114" bestFit="1" customWidth="1"/>
    <col min="14" max="15" width="10.421875" style="114" bestFit="1" customWidth="1"/>
    <col min="16" max="16" width="11.57421875" style="114" bestFit="1" customWidth="1"/>
    <col min="17" max="24" width="10.421875" style="114" bestFit="1" customWidth="1"/>
    <col min="25" max="25" width="12.8515625" style="114" bestFit="1" customWidth="1"/>
    <col min="26" max="26" width="10.421875" style="114" bestFit="1" customWidth="1"/>
    <col min="27" max="27" width="12.8515625" style="76" bestFit="1" customWidth="1"/>
    <col min="28" max="16384" width="9.140625" style="114" customWidth="1"/>
  </cols>
  <sheetData>
    <row r="1" spans="1:27" s="721" customFormat="1" ht="17.25" thickBot="1">
      <c r="A1" s="1744" t="s">
        <v>419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  <c r="R1" s="1744"/>
      <c r="S1" s="1744"/>
      <c r="T1" s="1744"/>
      <c r="U1" s="1744"/>
      <c r="V1" s="1744"/>
      <c r="W1" s="1744"/>
      <c r="X1" s="1744"/>
      <c r="Y1" s="1744"/>
      <c r="Z1" s="1744"/>
      <c r="AA1" s="1744"/>
    </row>
    <row r="2" spans="1:27" ht="112.5" customHeight="1" thickBot="1">
      <c r="A2" s="1743" t="s">
        <v>0</v>
      </c>
      <c r="B2" s="1008" t="s">
        <v>184</v>
      </c>
      <c r="C2" s="801" t="s">
        <v>185</v>
      </c>
      <c r="D2" s="801" t="s">
        <v>186</v>
      </c>
      <c r="E2" s="801" t="s">
        <v>187</v>
      </c>
      <c r="F2" s="801" t="s">
        <v>188</v>
      </c>
      <c r="G2" s="801" t="s">
        <v>189</v>
      </c>
      <c r="H2" s="801" t="s">
        <v>527</v>
      </c>
      <c r="I2" s="801" t="s">
        <v>190</v>
      </c>
      <c r="J2" s="801" t="s">
        <v>191</v>
      </c>
      <c r="K2" s="801" t="s">
        <v>192</v>
      </c>
      <c r="L2" s="801" t="s">
        <v>193</v>
      </c>
      <c r="M2" s="801" t="s">
        <v>194</v>
      </c>
      <c r="N2" s="801" t="s">
        <v>195</v>
      </c>
      <c r="O2" s="801" t="s">
        <v>196</v>
      </c>
      <c r="P2" s="801" t="s">
        <v>197</v>
      </c>
      <c r="Q2" s="801" t="s">
        <v>198</v>
      </c>
      <c r="R2" s="801" t="s">
        <v>199</v>
      </c>
      <c r="S2" s="801" t="s">
        <v>200</v>
      </c>
      <c r="T2" s="801" t="s">
        <v>201</v>
      </c>
      <c r="U2" s="801" t="s">
        <v>202</v>
      </c>
      <c r="V2" s="801" t="s">
        <v>203</v>
      </c>
      <c r="W2" s="801" t="s">
        <v>204</v>
      </c>
      <c r="X2" s="801" t="s">
        <v>205</v>
      </c>
      <c r="Y2" s="943" t="s">
        <v>1</v>
      </c>
      <c r="Z2" s="801" t="s">
        <v>206</v>
      </c>
      <c r="AA2" s="1272" t="s">
        <v>2</v>
      </c>
    </row>
    <row r="3" spans="1:27" s="804" customFormat="1" ht="36.75" customHeight="1" thickBot="1">
      <c r="A3" s="1743"/>
      <c r="B3" s="941" t="s">
        <v>447</v>
      </c>
      <c r="C3" s="941" t="s">
        <v>447</v>
      </c>
      <c r="D3" s="941" t="s">
        <v>447</v>
      </c>
      <c r="E3" s="941" t="s">
        <v>447</v>
      </c>
      <c r="F3" s="941" t="s">
        <v>447</v>
      </c>
      <c r="G3" s="941" t="s">
        <v>447</v>
      </c>
      <c r="H3" s="941" t="s">
        <v>447</v>
      </c>
      <c r="I3" s="941" t="s">
        <v>447</v>
      </c>
      <c r="J3" s="941" t="s">
        <v>447</v>
      </c>
      <c r="K3" s="941" t="s">
        <v>447</v>
      </c>
      <c r="L3" s="941" t="s">
        <v>447</v>
      </c>
      <c r="M3" s="941" t="s">
        <v>447</v>
      </c>
      <c r="N3" s="941" t="s">
        <v>447</v>
      </c>
      <c r="O3" s="941" t="s">
        <v>447</v>
      </c>
      <c r="P3" s="941" t="s">
        <v>447</v>
      </c>
      <c r="Q3" s="941" t="s">
        <v>447</v>
      </c>
      <c r="R3" s="941" t="s">
        <v>447</v>
      </c>
      <c r="S3" s="941" t="s">
        <v>447</v>
      </c>
      <c r="T3" s="941" t="s">
        <v>447</v>
      </c>
      <c r="U3" s="941" t="s">
        <v>447</v>
      </c>
      <c r="V3" s="941" t="s">
        <v>447</v>
      </c>
      <c r="W3" s="941" t="s">
        <v>447</v>
      </c>
      <c r="X3" s="941" t="s">
        <v>447</v>
      </c>
      <c r="Y3" s="941" t="s">
        <v>447</v>
      </c>
      <c r="Z3" s="941" t="s">
        <v>447</v>
      </c>
      <c r="AA3" s="941" t="s">
        <v>447</v>
      </c>
    </row>
    <row r="4" spans="1:27" ht="18">
      <c r="A4" s="714" t="s">
        <v>406</v>
      </c>
      <c r="B4" s="1274"/>
      <c r="C4" s="1274"/>
      <c r="D4" s="1274"/>
      <c r="E4" s="1274"/>
      <c r="F4" s="1274"/>
      <c r="G4" s="1274"/>
      <c r="H4" s="1274"/>
      <c r="I4" s="1274"/>
      <c r="J4" s="1678" t="s">
        <v>429</v>
      </c>
      <c r="K4" s="1679" t="s">
        <v>429</v>
      </c>
      <c r="L4" s="1273"/>
      <c r="M4" s="1274"/>
      <c r="N4" s="1274"/>
      <c r="O4" s="1274"/>
      <c r="P4" s="1274"/>
      <c r="Q4" s="1274"/>
      <c r="R4" s="1274" t="s">
        <v>429</v>
      </c>
      <c r="S4" s="1274"/>
      <c r="T4" s="1274"/>
      <c r="U4" s="1274"/>
      <c r="V4" s="1274"/>
      <c r="W4" s="1274"/>
      <c r="X4" s="1274"/>
      <c r="Y4" s="1273"/>
      <c r="Z4" s="1274"/>
      <c r="AA4" s="1273"/>
    </row>
    <row r="5" spans="1:27" ht="16.5">
      <c r="A5" s="707" t="s">
        <v>407</v>
      </c>
      <c r="B5" s="1269">
        <v>682920</v>
      </c>
      <c r="C5" s="1269"/>
      <c r="D5" s="1269"/>
      <c r="E5" s="1269"/>
      <c r="F5" s="1269"/>
      <c r="G5" s="1269"/>
      <c r="H5" s="1269"/>
      <c r="I5" s="1269"/>
      <c r="J5" s="1269"/>
      <c r="K5" s="1275"/>
      <c r="L5" s="1270"/>
      <c r="M5" s="1269"/>
      <c r="N5" s="1269"/>
      <c r="O5" s="1269"/>
      <c r="P5" s="1269"/>
      <c r="Q5" s="1269">
        <v>258784</v>
      </c>
      <c r="R5" s="1269"/>
      <c r="S5" s="1269"/>
      <c r="T5" s="1269"/>
      <c r="U5" s="1269"/>
      <c r="V5" s="1269"/>
      <c r="W5" s="1269"/>
      <c r="X5" s="1269"/>
      <c r="Y5" s="1270">
        <f>SUM(B5:X5)</f>
        <v>941704</v>
      </c>
      <c r="Z5" s="1269"/>
      <c r="AA5" s="1270">
        <f>Y5+Z5</f>
        <v>941704</v>
      </c>
    </row>
    <row r="6" spans="1:27" ht="16.5">
      <c r="A6" s="707" t="s">
        <v>408</v>
      </c>
      <c r="B6" s="1269">
        <v>2000028</v>
      </c>
      <c r="C6" s="1276">
        <v>7674705</v>
      </c>
      <c r="D6" s="1269"/>
      <c r="E6" s="1269"/>
      <c r="F6" s="1269"/>
      <c r="G6" s="1269">
        <v>1250000</v>
      </c>
      <c r="H6" s="1269">
        <v>8329217</v>
      </c>
      <c r="I6" s="1269">
        <v>16848478</v>
      </c>
      <c r="J6" s="1269"/>
      <c r="K6" s="1275"/>
      <c r="L6" s="1270">
        <v>3982083</v>
      </c>
      <c r="M6" s="1269">
        <v>34291052</v>
      </c>
      <c r="N6" s="1269"/>
      <c r="O6" s="1269">
        <v>2700000</v>
      </c>
      <c r="P6" s="1269">
        <v>520363</v>
      </c>
      <c r="Q6" s="1269">
        <v>680913</v>
      </c>
      <c r="R6" s="1269"/>
      <c r="S6" s="1269"/>
      <c r="T6" s="1269"/>
      <c r="U6" s="1269"/>
      <c r="V6" s="1269">
        <v>10191</v>
      </c>
      <c r="W6" s="1269"/>
      <c r="X6" s="1269"/>
      <c r="Y6" s="1270">
        <f aca="true" t="shared" si="0" ref="Y6:Y14">SUM(B6:X6)</f>
        <v>78287030</v>
      </c>
      <c r="Z6" s="1269"/>
      <c r="AA6" s="1270">
        <f aca="true" t="shared" si="1" ref="AA6:AA14">Y6+Z6</f>
        <v>78287030</v>
      </c>
    </row>
    <row r="7" spans="1:27" ht="16.5">
      <c r="A7" s="707" t="s">
        <v>409</v>
      </c>
      <c r="B7" s="1269"/>
      <c r="C7" s="1276"/>
      <c r="D7" s="1269"/>
      <c r="E7" s="1269"/>
      <c r="F7" s="1269"/>
      <c r="G7" s="1269"/>
      <c r="H7" s="1269"/>
      <c r="I7" s="1269">
        <v>34144</v>
      </c>
      <c r="J7" s="1269"/>
      <c r="K7" s="1275"/>
      <c r="L7" s="1270"/>
      <c r="M7" s="1269">
        <v>258513</v>
      </c>
      <c r="N7" s="1269"/>
      <c r="O7" s="1269"/>
      <c r="P7" s="1269"/>
      <c r="Q7" s="1269"/>
      <c r="R7" s="1269"/>
      <c r="S7" s="1269"/>
      <c r="T7" s="1269"/>
      <c r="U7" s="1269"/>
      <c r="V7" s="1269"/>
      <c r="W7" s="1269"/>
      <c r="X7" s="1269"/>
      <c r="Y7" s="1270">
        <f t="shared" si="0"/>
        <v>292657</v>
      </c>
      <c r="Z7" s="1269"/>
      <c r="AA7" s="1270">
        <f t="shared" si="1"/>
        <v>292657</v>
      </c>
    </row>
    <row r="8" spans="1:27" ht="16.5">
      <c r="A8" s="707" t="s">
        <v>410</v>
      </c>
      <c r="B8" s="1269"/>
      <c r="C8" s="1276"/>
      <c r="D8" s="1269"/>
      <c r="E8" s="1269"/>
      <c r="F8" s="1269"/>
      <c r="G8" s="1269"/>
      <c r="H8" s="1269"/>
      <c r="I8" s="1269"/>
      <c r="J8" s="1269"/>
      <c r="K8" s="1275"/>
      <c r="L8" s="1270"/>
      <c r="M8" s="1269"/>
      <c r="N8" s="1269"/>
      <c r="O8" s="1269"/>
      <c r="P8" s="1269"/>
      <c r="Q8" s="1269"/>
      <c r="R8" s="1269"/>
      <c r="S8" s="1269"/>
      <c r="T8" s="1269"/>
      <c r="U8" s="1269"/>
      <c r="V8" s="1269"/>
      <c r="W8" s="1269"/>
      <c r="X8" s="1269"/>
      <c r="Y8" s="1270">
        <f t="shared" si="0"/>
        <v>0</v>
      </c>
      <c r="Z8" s="1269"/>
      <c r="AA8" s="1270">
        <f t="shared" si="1"/>
        <v>0</v>
      </c>
    </row>
    <row r="9" spans="1:27" ht="16.5">
      <c r="A9" s="707" t="s">
        <v>411</v>
      </c>
      <c r="B9" s="1269">
        <v>320789</v>
      </c>
      <c r="C9" s="1276"/>
      <c r="D9" s="1269"/>
      <c r="E9" s="1269"/>
      <c r="F9" s="1269"/>
      <c r="G9" s="1269"/>
      <c r="H9" s="1269"/>
      <c r="I9" s="1269"/>
      <c r="J9" s="1269"/>
      <c r="K9" s="1275"/>
      <c r="L9" s="1270"/>
      <c r="M9" s="1269"/>
      <c r="N9" s="1269"/>
      <c r="O9" s="1269"/>
      <c r="P9" s="1269"/>
      <c r="Q9" s="1269"/>
      <c r="R9" s="1269"/>
      <c r="S9" s="1269"/>
      <c r="T9" s="1269"/>
      <c r="U9" s="1269"/>
      <c r="V9" s="1269"/>
      <c r="W9" s="1269"/>
      <c r="X9" s="1269"/>
      <c r="Y9" s="1270">
        <f t="shared" si="0"/>
        <v>320789</v>
      </c>
      <c r="Z9" s="1269"/>
      <c r="AA9" s="1270">
        <f t="shared" si="1"/>
        <v>320789</v>
      </c>
    </row>
    <row r="10" spans="1:27" ht="16.5">
      <c r="A10" s="707" t="s">
        <v>412</v>
      </c>
      <c r="B10" s="1269"/>
      <c r="C10" s="1276"/>
      <c r="D10" s="1269"/>
      <c r="E10" s="1269"/>
      <c r="F10" s="1269"/>
      <c r="G10" s="1269"/>
      <c r="H10" s="1269"/>
      <c r="I10" s="1269"/>
      <c r="J10" s="1269"/>
      <c r="K10" s="1275"/>
      <c r="L10" s="1270"/>
      <c r="M10" s="1269"/>
      <c r="N10" s="1269"/>
      <c r="O10" s="1269"/>
      <c r="P10" s="1269"/>
      <c r="Q10" s="1269"/>
      <c r="R10" s="1269"/>
      <c r="S10" s="1269"/>
      <c r="T10" s="1269"/>
      <c r="U10" s="1269"/>
      <c r="V10" s="1269"/>
      <c r="W10" s="1269"/>
      <c r="X10" s="1269"/>
      <c r="Y10" s="1270">
        <f t="shared" si="0"/>
        <v>0</v>
      </c>
      <c r="Z10" s="1269"/>
      <c r="AA10" s="1270">
        <f t="shared" si="1"/>
        <v>0</v>
      </c>
    </row>
    <row r="11" spans="1:27" ht="16.5">
      <c r="A11" s="707" t="s">
        <v>413</v>
      </c>
      <c r="B11" s="1269"/>
      <c r="C11" s="1276"/>
      <c r="D11" s="1269"/>
      <c r="E11" s="1269"/>
      <c r="F11" s="1269"/>
      <c r="G11" s="1269"/>
      <c r="H11" s="1269"/>
      <c r="I11" s="1269"/>
      <c r="J11" s="1269"/>
      <c r="K11" s="1275"/>
      <c r="L11" s="1270"/>
      <c r="M11" s="1269"/>
      <c r="N11" s="1269"/>
      <c r="O11" s="1269"/>
      <c r="P11" s="1269"/>
      <c r="Q11" s="1269"/>
      <c r="R11" s="1269"/>
      <c r="S11" s="1269"/>
      <c r="T11" s="1269"/>
      <c r="U11" s="1269"/>
      <c r="V11" s="1269"/>
      <c r="W11" s="1269"/>
      <c r="X11" s="1269"/>
      <c r="Y11" s="1270">
        <f t="shared" si="0"/>
        <v>0</v>
      </c>
      <c r="Z11" s="1269"/>
      <c r="AA11" s="1270">
        <f t="shared" si="1"/>
        <v>0</v>
      </c>
    </row>
    <row r="12" spans="1:27" ht="16.5">
      <c r="A12" s="707" t="s">
        <v>414</v>
      </c>
      <c r="B12" s="1269"/>
      <c r="C12" s="1276"/>
      <c r="D12" s="1269"/>
      <c r="E12" s="1269"/>
      <c r="F12" s="1269"/>
      <c r="G12" s="1269"/>
      <c r="H12" s="1269"/>
      <c r="I12" s="1269"/>
      <c r="J12" s="1269"/>
      <c r="K12" s="1275"/>
      <c r="L12" s="1270"/>
      <c r="M12" s="1269"/>
      <c r="N12" s="1269"/>
      <c r="O12" s="1269">
        <v>100000</v>
      </c>
      <c r="P12" s="1269"/>
      <c r="Q12" s="1269">
        <v>683222</v>
      </c>
      <c r="R12" s="1269"/>
      <c r="S12" s="1269"/>
      <c r="T12" s="1269"/>
      <c r="U12" s="1269"/>
      <c r="V12" s="1269"/>
      <c r="W12" s="1269"/>
      <c r="X12" s="1269"/>
      <c r="Y12" s="1270">
        <f t="shared" si="0"/>
        <v>783222</v>
      </c>
      <c r="Z12" s="1269"/>
      <c r="AA12" s="1270">
        <f t="shared" si="1"/>
        <v>783222</v>
      </c>
    </row>
    <row r="13" spans="1:27" ht="16.5">
      <c r="A13" s="707" t="s">
        <v>415</v>
      </c>
      <c r="B13" s="1269"/>
      <c r="C13" s="1276"/>
      <c r="D13" s="1269"/>
      <c r="E13" s="1269"/>
      <c r="F13" s="1269"/>
      <c r="G13" s="1269">
        <v>1105083</v>
      </c>
      <c r="H13" s="1269"/>
      <c r="I13" s="1269"/>
      <c r="J13" s="1269"/>
      <c r="K13" s="1275"/>
      <c r="L13" s="1270">
        <v>45692925</v>
      </c>
      <c r="M13" s="1269">
        <v>26444686</v>
      </c>
      <c r="N13" s="1269"/>
      <c r="O13" s="1269"/>
      <c r="P13" s="1269">
        <v>27912133</v>
      </c>
      <c r="Q13" s="1269">
        <v>5182919</v>
      </c>
      <c r="R13" s="1269"/>
      <c r="S13" s="1269"/>
      <c r="T13" s="1269"/>
      <c r="U13" s="1269"/>
      <c r="V13" s="1269">
        <v>4704449</v>
      </c>
      <c r="W13" s="1269"/>
      <c r="X13" s="1269"/>
      <c r="Y13" s="1270">
        <f t="shared" si="0"/>
        <v>111042195</v>
      </c>
      <c r="Z13" s="1269"/>
      <c r="AA13" s="1270">
        <f t="shared" si="1"/>
        <v>111042195</v>
      </c>
    </row>
    <row r="14" spans="1:27" s="873" customFormat="1" ht="17.25" thickBot="1">
      <c r="A14" s="863" t="s">
        <v>54</v>
      </c>
      <c r="B14" s="869">
        <f aca="true" t="shared" si="2" ref="B14:Z14">SUM(B4:B13)</f>
        <v>3003737</v>
      </c>
      <c r="C14" s="870">
        <f t="shared" si="2"/>
        <v>7674705</v>
      </c>
      <c r="D14" s="870">
        <f t="shared" si="2"/>
        <v>0</v>
      </c>
      <c r="E14" s="870">
        <f t="shared" si="2"/>
        <v>0</v>
      </c>
      <c r="F14" s="870">
        <f t="shared" si="2"/>
        <v>0</v>
      </c>
      <c r="G14" s="870">
        <f t="shared" si="2"/>
        <v>2355083</v>
      </c>
      <c r="H14" s="870">
        <f t="shared" si="2"/>
        <v>8329217</v>
      </c>
      <c r="I14" s="870">
        <f t="shared" si="2"/>
        <v>16882622</v>
      </c>
      <c r="J14" s="870">
        <f t="shared" si="2"/>
        <v>0</v>
      </c>
      <c r="K14" s="871">
        <f t="shared" si="2"/>
        <v>0</v>
      </c>
      <c r="L14" s="872">
        <f t="shared" si="2"/>
        <v>49675008</v>
      </c>
      <c r="M14" s="869">
        <f t="shared" si="2"/>
        <v>60994251</v>
      </c>
      <c r="N14" s="870">
        <f t="shared" si="2"/>
        <v>0</v>
      </c>
      <c r="O14" s="870">
        <f t="shared" si="2"/>
        <v>2800000</v>
      </c>
      <c r="P14" s="870">
        <f t="shared" si="2"/>
        <v>28432496</v>
      </c>
      <c r="Q14" s="870">
        <f t="shared" si="2"/>
        <v>6805838</v>
      </c>
      <c r="R14" s="870">
        <f t="shared" si="2"/>
        <v>0</v>
      </c>
      <c r="S14" s="870">
        <f t="shared" si="2"/>
        <v>0</v>
      </c>
      <c r="T14" s="870">
        <f t="shared" si="2"/>
        <v>0</v>
      </c>
      <c r="U14" s="870">
        <f t="shared" si="2"/>
        <v>0</v>
      </c>
      <c r="V14" s="870">
        <f t="shared" si="2"/>
        <v>4714640</v>
      </c>
      <c r="W14" s="870">
        <f t="shared" si="2"/>
        <v>0</v>
      </c>
      <c r="X14" s="870">
        <f t="shared" si="2"/>
        <v>0</v>
      </c>
      <c r="Y14" s="1271">
        <f t="shared" si="0"/>
        <v>191667597</v>
      </c>
      <c r="Z14" s="870">
        <f t="shared" si="2"/>
        <v>0</v>
      </c>
      <c r="AA14" s="1271">
        <f t="shared" si="1"/>
        <v>191667597</v>
      </c>
    </row>
  </sheetData>
  <sheetProtection/>
  <mergeCells count="2">
    <mergeCell ref="A2:A3"/>
    <mergeCell ref="A1:AA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65536"/>
    </sheetView>
  </sheetViews>
  <sheetFormatPr defaultColWidth="9.140625" defaultRowHeight="15"/>
  <cols>
    <col min="1" max="1" width="50.00390625" style="114" bestFit="1" customWidth="1"/>
    <col min="2" max="4" width="10.421875" style="114" bestFit="1" customWidth="1"/>
    <col min="5" max="5" width="10.421875" style="114" customWidth="1"/>
    <col min="6" max="13" width="10.421875" style="114" bestFit="1" customWidth="1"/>
    <col min="14" max="14" width="10.421875" style="114" customWidth="1"/>
    <col min="15" max="15" width="10.421875" style="114" bestFit="1" customWidth="1"/>
    <col min="16" max="17" width="10.421875" style="114" customWidth="1"/>
    <col min="18" max="18" width="11.00390625" style="114" bestFit="1" customWidth="1"/>
    <col min="19" max="25" width="10.421875" style="114" bestFit="1" customWidth="1"/>
    <col min="26" max="26" width="10.421875" style="114" customWidth="1"/>
    <col min="27" max="27" width="10.421875" style="114" bestFit="1" customWidth="1"/>
    <col min="28" max="16384" width="9.140625" style="114" customWidth="1"/>
  </cols>
  <sheetData>
    <row r="1" s="721" customFormat="1" ht="17.25" thickBot="1">
      <c r="A1" s="722" t="s">
        <v>420</v>
      </c>
    </row>
    <row r="2" spans="1:27" ht="129" thickBot="1">
      <c r="A2" s="1745" t="s">
        <v>0</v>
      </c>
      <c r="B2" s="940" t="s">
        <v>184</v>
      </c>
      <c r="C2" s="1077" t="s">
        <v>185</v>
      </c>
      <c r="D2" s="1077" t="s">
        <v>186</v>
      </c>
      <c r="E2" s="1077" t="s">
        <v>187</v>
      </c>
      <c r="F2" s="1077" t="s">
        <v>188</v>
      </c>
      <c r="G2" s="1077" t="s">
        <v>189</v>
      </c>
      <c r="H2" s="1077" t="s">
        <v>527</v>
      </c>
      <c r="I2" s="1077" t="s">
        <v>190</v>
      </c>
      <c r="J2" s="1077" t="s">
        <v>191</v>
      </c>
      <c r="K2" s="1077" t="s">
        <v>192</v>
      </c>
      <c r="L2" s="1077" t="s">
        <v>193</v>
      </c>
      <c r="M2" s="1077" t="s">
        <v>194</v>
      </c>
      <c r="N2" s="1077" t="s">
        <v>195</v>
      </c>
      <c r="O2" s="1077" t="s">
        <v>196</v>
      </c>
      <c r="P2" s="1077" t="s">
        <v>197</v>
      </c>
      <c r="Q2" s="1077" t="s">
        <v>198</v>
      </c>
      <c r="R2" s="1077" t="s">
        <v>199</v>
      </c>
      <c r="S2" s="1077" t="s">
        <v>200</v>
      </c>
      <c r="T2" s="1077" t="s">
        <v>201</v>
      </c>
      <c r="U2" s="1077" t="s">
        <v>202</v>
      </c>
      <c r="V2" s="1077" t="s">
        <v>203</v>
      </c>
      <c r="W2" s="1077" t="s">
        <v>204</v>
      </c>
      <c r="X2" s="1077" t="s">
        <v>205</v>
      </c>
      <c r="Y2" s="1077" t="s">
        <v>1</v>
      </c>
      <c r="Z2" s="1077" t="s">
        <v>206</v>
      </c>
      <c r="AA2" s="1077" t="s">
        <v>2</v>
      </c>
    </row>
    <row r="3" spans="1:27" s="804" customFormat="1" ht="31.5" customHeight="1" thickBot="1">
      <c r="A3" s="1746"/>
      <c r="B3" s="941" t="s">
        <v>447</v>
      </c>
      <c r="C3" s="941" t="s">
        <v>447</v>
      </c>
      <c r="D3" s="941" t="s">
        <v>447</v>
      </c>
      <c r="E3" s="941" t="s">
        <v>447</v>
      </c>
      <c r="F3" s="941" t="s">
        <v>447</v>
      </c>
      <c r="G3" s="941" t="s">
        <v>447</v>
      </c>
      <c r="H3" s="941" t="s">
        <v>447</v>
      </c>
      <c r="I3" s="941" t="s">
        <v>447</v>
      </c>
      <c r="J3" s="941" t="s">
        <v>447</v>
      </c>
      <c r="K3" s="941" t="s">
        <v>447</v>
      </c>
      <c r="L3" s="941" t="s">
        <v>447</v>
      </c>
      <c r="M3" s="941" t="s">
        <v>447</v>
      </c>
      <c r="N3" s="941" t="s">
        <v>447</v>
      </c>
      <c r="O3" s="941" t="s">
        <v>447</v>
      </c>
      <c r="P3" s="941" t="s">
        <v>447</v>
      </c>
      <c r="Q3" s="941" t="s">
        <v>447</v>
      </c>
      <c r="R3" s="941" t="s">
        <v>447</v>
      </c>
      <c r="S3" s="941" t="s">
        <v>447</v>
      </c>
      <c r="T3" s="941" t="s">
        <v>447</v>
      </c>
      <c r="U3" s="941" t="s">
        <v>447</v>
      </c>
      <c r="V3" s="941" t="s">
        <v>447</v>
      </c>
      <c r="W3" s="941" t="s">
        <v>447</v>
      </c>
      <c r="X3" s="941" t="s">
        <v>447</v>
      </c>
      <c r="Y3" s="941" t="s">
        <v>447</v>
      </c>
      <c r="Z3" s="941" t="s">
        <v>447</v>
      </c>
      <c r="AA3" s="941" t="s">
        <v>447</v>
      </c>
    </row>
    <row r="4" spans="1:27" ht="18">
      <c r="A4" s="483" t="s">
        <v>416</v>
      </c>
      <c r="B4" s="1637" t="s">
        <v>429</v>
      </c>
      <c r="C4" s="708">
        <v>700000</v>
      </c>
      <c r="D4" s="708"/>
      <c r="E4" s="1637" t="s">
        <v>429</v>
      </c>
      <c r="F4" s="708">
        <v>600000</v>
      </c>
      <c r="G4" s="708" t="s">
        <v>429</v>
      </c>
      <c r="H4" s="1637" t="s">
        <v>429</v>
      </c>
      <c r="I4" s="708" t="s">
        <v>429</v>
      </c>
      <c r="J4" s="708"/>
      <c r="K4" s="708" t="s">
        <v>429</v>
      </c>
      <c r="L4" s="708" t="s">
        <v>429</v>
      </c>
      <c r="M4" s="1637" t="s">
        <v>429</v>
      </c>
      <c r="N4" s="1637" t="s">
        <v>429</v>
      </c>
      <c r="O4" s="708">
        <v>1000000</v>
      </c>
      <c r="P4" s="708" t="s">
        <v>429</v>
      </c>
      <c r="Q4" s="1637" t="s">
        <v>429</v>
      </c>
      <c r="R4" s="708" t="s">
        <v>429</v>
      </c>
      <c r="S4" s="708"/>
      <c r="T4" s="708"/>
      <c r="U4" s="1637" t="s">
        <v>429</v>
      </c>
      <c r="V4" s="1637" t="s">
        <v>429</v>
      </c>
      <c r="W4" s="1638" t="s">
        <v>429</v>
      </c>
      <c r="X4" s="1639" t="s">
        <v>429</v>
      </c>
      <c r="Y4" s="708">
        <f>SUM(B4:X4)</f>
        <v>2300000</v>
      </c>
      <c r="Z4" s="715">
        <v>0</v>
      </c>
      <c r="AA4" s="717">
        <f>SUM(Y4+Z4)</f>
        <v>2300000</v>
      </c>
    </row>
    <row r="5" spans="1:27" ht="16.5">
      <c r="A5" s="484" t="s">
        <v>417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19"/>
      <c r="X5" s="713"/>
      <c r="Y5" s="709"/>
      <c r="Z5" s="716"/>
      <c r="AA5" s="718"/>
    </row>
    <row r="6" spans="1:27" ht="16.5">
      <c r="A6" s="484" t="s">
        <v>418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19"/>
      <c r="X6" s="713"/>
      <c r="Y6" s="709"/>
      <c r="Z6" s="716"/>
      <c r="AA6" s="718"/>
    </row>
    <row r="7" spans="1:27" ht="16.5">
      <c r="A7" s="484" t="s">
        <v>74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19"/>
      <c r="X7" s="713"/>
      <c r="Y7" s="709"/>
      <c r="Z7" s="716"/>
      <c r="AA7" s="718"/>
    </row>
    <row r="8" spans="1:27" s="804" customFormat="1" ht="17.25" thickBot="1">
      <c r="A8" s="863" t="s">
        <v>54</v>
      </c>
      <c r="B8" s="864">
        <v>0</v>
      </c>
      <c r="C8" s="864">
        <v>700000</v>
      </c>
      <c r="D8" s="864"/>
      <c r="E8" s="864">
        <v>0</v>
      </c>
      <c r="F8" s="864">
        <f>F4</f>
        <v>600000</v>
      </c>
      <c r="G8" s="864">
        <v>0</v>
      </c>
      <c r="H8" s="864">
        <v>0</v>
      </c>
      <c r="I8" s="864">
        <v>0</v>
      </c>
      <c r="J8" s="864">
        <v>0</v>
      </c>
      <c r="K8" s="864">
        <v>0</v>
      </c>
      <c r="L8" s="864">
        <v>0</v>
      </c>
      <c r="M8" s="864">
        <v>0</v>
      </c>
      <c r="N8" s="864">
        <v>0</v>
      </c>
      <c r="O8" s="864">
        <f>O4</f>
        <v>1000000</v>
      </c>
      <c r="P8" s="864">
        <v>0</v>
      </c>
      <c r="Q8" s="864">
        <v>0</v>
      </c>
      <c r="R8" s="864"/>
      <c r="S8" s="864">
        <v>0</v>
      </c>
      <c r="T8" s="864"/>
      <c r="U8" s="864">
        <v>0</v>
      </c>
      <c r="V8" s="864"/>
      <c r="W8" s="865">
        <v>0</v>
      </c>
      <c r="X8" s="866" t="str">
        <f>X4</f>
        <v>-</v>
      </c>
      <c r="Y8" s="864">
        <f>SUM(B8:X8)</f>
        <v>2300000</v>
      </c>
      <c r="Z8" s="867">
        <v>0</v>
      </c>
      <c r="AA8" s="868">
        <f>SUM(Y8+Z8)</f>
        <v>2300000</v>
      </c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ssdeshpande</cp:lastModifiedBy>
  <dcterms:created xsi:type="dcterms:W3CDTF">2019-02-21T06:27:16Z</dcterms:created>
  <dcterms:modified xsi:type="dcterms:W3CDTF">2020-12-24T07:15:52Z</dcterms:modified>
  <cp:category/>
  <cp:version/>
  <cp:contentType/>
  <cp:contentStatus/>
</cp:coreProperties>
</file>